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S\Documents\2023 - Daniel Tirado C\PIGOO\2023\"/>
    </mc:Choice>
  </mc:AlternateContent>
  <xr:revisionPtr revIDLastSave="0" documentId="13_ncr:1_{F65DBF54-B0D1-424A-8F16-B61B9FF385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0" i="1" l="1"/>
  <c r="M131" i="1"/>
  <c r="L131" i="1" l="1"/>
  <c r="L130" i="1"/>
  <c r="K123" i="1"/>
  <c r="K124" i="1"/>
  <c r="L124" i="1" s="1"/>
  <c r="K125" i="1"/>
  <c r="L125" i="1" s="1"/>
  <c r="L123" i="1"/>
  <c r="L52" i="1"/>
  <c r="K52" i="1"/>
  <c r="K130" i="1"/>
  <c r="K131" i="1"/>
  <c r="K80" i="1" l="1"/>
  <c r="K79" i="1"/>
  <c r="K77" i="1"/>
  <c r="K76" i="1"/>
  <c r="K30" i="1"/>
  <c r="K28" i="1"/>
  <c r="K27" i="1"/>
  <c r="K19" i="1"/>
  <c r="J131" i="1" l="1"/>
  <c r="J130" i="1"/>
  <c r="J79" i="1"/>
  <c r="J80" i="1"/>
  <c r="J76" i="1"/>
  <c r="J77" i="1"/>
  <c r="J52" i="1"/>
  <c r="J26" i="1"/>
  <c r="J28" i="1" s="1"/>
  <c r="J27" i="1"/>
  <c r="I131" i="1"/>
  <c r="I130" i="1"/>
  <c r="I80" i="1"/>
  <c r="I79" i="1"/>
  <c r="I77" i="1"/>
  <c r="I76" i="1"/>
  <c r="I28" i="1"/>
  <c r="I27" i="1"/>
  <c r="I19" i="1"/>
  <c r="H131" i="1"/>
  <c r="H130" i="1"/>
  <c r="H112" i="1"/>
  <c r="H80" i="1"/>
  <c r="H79" i="1"/>
  <c r="H77" i="1"/>
  <c r="H76" i="1"/>
  <c r="H28" i="1" l="1"/>
  <c r="H27" i="1"/>
  <c r="H19" i="1"/>
  <c r="G131" i="1"/>
  <c r="G130" i="1"/>
  <c r="G112" i="1" l="1"/>
  <c r="G80" i="1" l="1"/>
  <c r="G79" i="1"/>
  <c r="G77" i="1"/>
  <c r="G76" i="1"/>
  <c r="G19" i="1" l="1"/>
  <c r="F19" i="1"/>
  <c r="G28" i="1"/>
  <c r="G27" i="1"/>
  <c r="F28" i="1"/>
  <c r="F27" i="1"/>
  <c r="E27" i="1"/>
  <c r="F131" i="1"/>
  <c r="F130" i="1"/>
  <c r="F112" i="1"/>
  <c r="F80" i="1"/>
  <c r="F79" i="1"/>
  <c r="F77" i="1"/>
  <c r="F76" i="1"/>
  <c r="E131" i="1" l="1"/>
  <c r="E130" i="1"/>
  <c r="E79" i="1"/>
  <c r="E80" i="1"/>
  <c r="E77" i="1"/>
  <c r="E76" i="1"/>
  <c r="E28" i="1" l="1"/>
  <c r="D131" i="1"/>
  <c r="B130" i="1"/>
  <c r="C130" i="1"/>
  <c r="D130" i="1"/>
  <c r="D76" i="1"/>
  <c r="C76" i="1"/>
  <c r="B76" i="1"/>
  <c r="D82" i="1"/>
  <c r="D80" i="1"/>
  <c r="D79" i="1"/>
  <c r="D77" i="1"/>
  <c r="D28" i="1"/>
  <c r="B28" i="1"/>
  <c r="C28" i="1"/>
  <c r="D27" i="1"/>
  <c r="C131" i="1"/>
  <c r="C125" i="1"/>
  <c r="D125" i="1" s="1"/>
  <c r="E125" i="1" s="1"/>
  <c r="F125" i="1" s="1"/>
  <c r="G125" i="1" s="1"/>
  <c r="H125" i="1" s="1"/>
  <c r="I125" i="1" s="1"/>
  <c r="J125" i="1" s="1"/>
  <c r="C124" i="1"/>
  <c r="D124" i="1" s="1"/>
  <c r="E124" i="1" s="1"/>
  <c r="F124" i="1" s="1"/>
  <c r="G124" i="1" s="1"/>
  <c r="H124" i="1" s="1"/>
  <c r="I124" i="1" s="1"/>
  <c r="J124" i="1" s="1"/>
  <c r="C123" i="1"/>
  <c r="D123" i="1" s="1"/>
  <c r="E123" i="1" s="1"/>
  <c r="F123" i="1" s="1"/>
  <c r="G123" i="1" s="1"/>
  <c r="H123" i="1" s="1"/>
  <c r="I123" i="1" s="1"/>
  <c r="J123" i="1" s="1"/>
  <c r="C112" i="1"/>
  <c r="C80" i="1"/>
  <c r="C79" i="1"/>
  <c r="C77" i="1"/>
  <c r="C27" i="1" l="1"/>
  <c r="B131" i="1"/>
  <c r="B112" i="1" l="1"/>
  <c r="B80" i="1"/>
  <c r="B79" i="1"/>
  <c r="B77" i="1"/>
  <c r="C166" i="1" l="1"/>
  <c r="D166" i="1"/>
  <c r="E166" i="1"/>
  <c r="F166" i="1"/>
  <c r="G166" i="1"/>
  <c r="H166" i="1"/>
  <c r="I166" i="1"/>
  <c r="J166" i="1"/>
  <c r="K166" i="1"/>
  <c r="L166" i="1"/>
  <c r="M166" i="1"/>
  <c r="C162" i="1"/>
  <c r="D162" i="1"/>
  <c r="E162" i="1"/>
  <c r="F162" i="1"/>
  <c r="G162" i="1"/>
  <c r="H162" i="1"/>
  <c r="I162" i="1"/>
  <c r="J162" i="1"/>
  <c r="K162" i="1"/>
  <c r="L162" i="1"/>
  <c r="M162" i="1"/>
  <c r="C159" i="1"/>
  <c r="D159" i="1"/>
  <c r="E159" i="1"/>
  <c r="F159" i="1"/>
  <c r="G159" i="1"/>
  <c r="H159" i="1"/>
  <c r="I159" i="1"/>
  <c r="J159" i="1"/>
  <c r="K159" i="1"/>
  <c r="L159" i="1"/>
  <c r="M159" i="1"/>
  <c r="C156" i="1"/>
  <c r="D156" i="1"/>
  <c r="E156" i="1"/>
  <c r="F156" i="1"/>
  <c r="G156" i="1"/>
  <c r="H156" i="1"/>
  <c r="I156" i="1"/>
  <c r="J156" i="1"/>
  <c r="K156" i="1"/>
  <c r="L156" i="1"/>
  <c r="M156" i="1"/>
  <c r="C146" i="1"/>
  <c r="D146" i="1"/>
  <c r="E146" i="1"/>
  <c r="F146" i="1"/>
  <c r="G146" i="1"/>
  <c r="H146" i="1"/>
  <c r="I146" i="1"/>
  <c r="J146" i="1"/>
  <c r="K146" i="1"/>
  <c r="L146" i="1"/>
  <c r="M146" i="1"/>
  <c r="B146" i="1"/>
  <c r="N27" i="1"/>
  <c r="R38" i="1"/>
  <c r="N35" i="1"/>
  <c r="O13" i="1"/>
  <c r="O11" i="1" s="1"/>
  <c r="C12" i="1"/>
  <c r="C15" i="1" s="1"/>
  <c r="D12" i="1"/>
  <c r="D15" i="1" s="1"/>
  <c r="E12" i="1"/>
  <c r="E15" i="1" s="1"/>
  <c r="F12" i="1"/>
  <c r="F15" i="1" s="1"/>
  <c r="G12" i="1"/>
  <c r="G15" i="1" s="1"/>
  <c r="H12" i="1"/>
  <c r="H15" i="1" s="1"/>
  <c r="I12" i="1"/>
  <c r="I15" i="1" s="1"/>
  <c r="J12" i="1"/>
  <c r="J15" i="1" s="1"/>
  <c r="K12" i="1"/>
  <c r="K15" i="1" s="1"/>
  <c r="L12" i="1"/>
  <c r="M12" i="1"/>
  <c r="B12" i="1"/>
  <c r="B15" i="1" s="1"/>
  <c r="C155" i="1" l="1"/>
  <c r="K155" i="1"/>
  <c r="H155" i="1"/>
  <c r="D155" i="1"/>
  <c r="L155" i="1"/>
  <c r="G155" i="1"/>
  <c r="J155" i="1"/>
  <c r="F155" i="1"/>
  <c r="M155" i="1"/>
  <c r="I155" i="1"/>
  <c r="E155" i="1"/>
  <c r="C41" i="1"/>
  <c r="D41" i="1"/>
  <c r="E41" i="1"/>
  <c r="F41" i="1"/>
  <c r="G41" i="1"/>
  <c r="H41" i="1"/>
  <c r="I41" i="1"/>
  <c r="J41" i="1"/>
  <c r="K41" i="1"/>
  <c r="L41" i="1"/>
  <c r="M41" i="1"/>
  <c r="N39" i="1"/>
  <c r="N38" i="1"/>
  <c r="C25" i="1"/>
  <c r="D25" i="1"/>
  <c r="E25" i="1"/>
  <c r="F25" i="1"/>
  <c r="G25" i="1"/>
  <c r="H25" i="1"/>
  <c r="I25" i="1"/>
  <c r="J25" i="1"/>
  <c r="K25" i="1"/>
  <c r="K22" i="1" s="1"/>
  <c r="K21" i="1" s="1"/>
  <c r="L25" i="1"/>
  <c r="L22" i="1" s="1"/>
  <c r="L21" i="1" s="1"/>
  <c r="M25" i="1"/>
  <c r="M22" i="1" s="1"/>
  <c r="M21" i="1" s="1"/>
  <c r="J30" i="1" l="1"/>
  <c r="J22" i="1" s="1"/>
  <c r="J21" i="1" s="1"/>
  <c r="H30" i="1"/>
  <c r="H22" i="1" s="1"/>
  <c r="H21" i="1" s="1"/>
  <c r="I30" i="1"/>
  <c r="I22" i="1" s="1"/>
  <c r="I21" i="1" s="1"/>
  <c r="G30" i="1"/>
  <c r="G22" i="1" s="1"/>
  <c r="G21" i="1" s="1"/>
  <c r="F30" i="1"/>
  <c r="F22" i="1" s="1"/>
  <c r="F21" i="1" s="1"/>
  <c r="E30" i="1"/>
  <c r="E22" i="1" s="1"/>
  <c r="E21" i="1" s="1"/>
  <c r="D30" i="1"/>
  <c r="D22" i="1" s="1"/>
  <c r="D21" i="1" s="1"/>
  <c r="C30" i="1"/>
  <c r="C22" i="1" s="1"/>
  <c r="C21" i="1" s="1"/>
  <c r="R39" i="1"/>
  <c r="N14" i="1"/>
  <c r="N15" i="1"/>
  <c r="R15" i="1" s="1"/>
  <c r="N16" i="1"/>
  <c r="N17" i="1"/>
  <c r="N18" i="1"/>
  <c r="N19" i="1"/>
  <c r="R19" i="1" s="1"/>
  <c r="C13" i="1"/>
  <c r="C11" i="1" s="1"/>
  <c r="C10" i="1" s="1"/>
  <c r="D13" i="1"/>
  <c r="E13" i="1"/>
  <c r="F13" i="1"/>
  <c r="G13" i="1"/>
  <c r="G11" i="1" s="1"/>
  <c r="G10" i="1" s="1"/>
  <c r="H13" i="1"/>
  <c r="H11" i="1" s="1"/>
  <c r="H10" i="1" s="1"/>
  <c r="I13" i="1"/>
  <c r="J13" i="1"/>
  <c r="K13" i="1"/>
  <c r="K11" i="1" s="1"/>
  <c r="K10" i="1" s="1"/>
  <c r="K31" i="1" s="1"/>
  <c r="K34" i="1" s="1"/>
  <c r="L13" i="1"/>
  <c r="M13" i="1"/>
  <c r="M11" i="1" s="1"/>
  <c r="M10" i="1" s="1"/>
  <c r="M31" i="1" s="1"/>
  <c r="M34" i="1" s="1"/>
  <c r="O25" i="1"/>
  <c r="O22" i="1" s="1"/>
  <c r="N29" i="1"/>
  <c r="R30" i="1" s="1"/>
  <c r="G31" i="1" l="1"/>
  <c r="G34" i="1" s="1"/>
  <c r="H31" i="1"/>
  <c r="H34" i="1" s="1"/>
  <c r="C31" i="1"/>
  <c r="C34" i="1" s="1"/>
  <c r="N13" i="1"/>
  <c r="I11" i="1"/>
  <c r="I10" i="1" s="1"/>
  <c r="I31" i="1" s="1"/>
  <c r="I34" i="1" s="1"/>
  <c r="E11" i="1"/>
  <c r="E10" i="1" s="1"/>
  <c r="E31" i="1" s="1"/>
  <c r="E34" i="1" s="1"/>
  <c r="J11" i="1"/>
  <c r="J10" i="1" s="1"/>
  <c r="J31" i="1" s="1"/>
  <c r="J34" i="1" s="1"/>
  <c r="F11" i="1"/>
  <c r="F10" i="1" s="1"/>
  <c r="F31" i="1" s="1"/>
  <c r="F34" i="1" s="1"/>
  <c r="L11" i="1"/>
  <c r="L10" i="1" s="1"/>
  <c r="L31" i="1" s="1"/>
  <c r="L34" i="1" s="1"/>
  <c r="D11" i="1"/>
  <c r="D10" i="1" s="1"/>
  <c r="D31" i="1" s="1"/>
  <c r="D34" i="1" s="1"/>
  <c r="N12" i="1"/>
  <c r="R13" i="1" l="1"/>
  <c r="N11" i="1"/>
  <c r="C116" i="1"/>
  <c r="D116" i="1"/>
  <c r="E116" i="1"/>
  <c r="F116" i="1"/>
  <c r="G116" i="1"/>
  <c r="H116" i="1"/>
  <c r="I116" i="1"/>
  <c r="J116" i="1"/>
  <c r="K116" i="1"/>
  <c r="L116" i="1"/>
  <c r="M116" i="1"/>
  <c r="C110" i="1"/>
  <c r="D110" i="1"/>
  <c r="E110" i="1"/>
  <c r="F110" i="1"/>
  <c r="G110" i="1"/>
  <c r="H110" i="1"/>
  <c r="I110" i="1"/>
  <c r="J110" i="1"/>
  <c r="K110" i="1"/>
  <c r="L110" i="1"/>
  <c r="M110" i="1"/>
  <c r="B110" i="1"/>
  <c r="N10" i="1" l="1"/>
  <c r="B162" i="1"/>
  <c r="C68" i="1" l="1"/>
  <c r="D68" i="1"/>
  <c r="E68" i="1"/>
  <c r="F68" i="1"/>
  <c r="G68" i="1"/>
  <c r="H68" i="1"/>
  <c r="I68" i="1"/>
  <c r="J68" i="1"/>
  <c r="K68" i="1"/>
  <c r="L68" i="1"/>
  <c r="M68" i="1"/>
  <c r="C61" i="1"/>
  <c r="D61" i="1"/>
  <c r="E61" i="1"/>
  <c r="F61" i="1"/>
  <c r="G61" i="1"/>
  <c r="H61" i="1"/>
  <c r="I61" i="1"/>
  <c r="J61" i="1"/>
  <c r="K61" i="1"/>
  <c r="L61" i="1"/>
  <c r="M61" i="1"/>
  <c r="C54" i="1"/>
  <c r="D54" i="1"/>
  <c r="E54" i="1"/>
  <c r="F54" i="1"/>
  <c r="G54" i="1"/>
  <c r="H54" i="1"/>
  <c r="I54" i="1"/>
  <c r="J54" i="1"/>
  <c r="K54" i="1"/>
  <c r="L54" i="1"/>
  <c r="M54" i="1"/>
  <c r="C50" i="1"/>
  <c r="D50" i="1"/>
  <c r="E50" i="1"/>
  <c r="F50" i="1"/>
  <c r="G50" i="1"/>
  <c r="H50" i="1"/>
  <c r="I50" i="1"/>
  <c r="J50" i="1"/>
  <c r="K50" i="1"/>
  <c r="L50" i="1"/>
  <c r="M50" i="1"/>
  <c r="N44" i="1"/>
  <c r="N43" i="1"/>
  <c r="N32" i="1"/>
  <c r="R33" i="1" s="1"/>
  <c r="N24" i="1"/>
  <c r="R25" i="1" s="1"/>
  <c r="N26" i="1"/>
  <c r="R28" i="1" s="1"/>
  <c r="N28" i="1"/>
  <c r="R29" i="1" s="1"/>
  <c r="N77" i="1"/>
  <c r="N78" i="1"/>
  <c r="N79" i="1"/>
  <c r="N80" i="1"/>
  <c r="N76" i="1"/>
  <c r="C75" i="1"/>
  <c r="D75" i="1"/>
  <c r="E75" i="1"/>
  <c r="F75" i="1"/>
  <c r="G75" i="1"/>
  <c r="H75" i="1"/>
  <c r="I75" i="1"/>
  <c r="J75" i="1"/>
  <c r="K75" i="1"/>
  <c r="L75" i="1"/>
  <c r="M75" i="1"/>
  <c r="B75" i="1"/>
  <c r="N25" i="1" l="1"/>
  <c r="R26" i="1" s="1"/>
  <c r="N75" i="1"/>
  <c r="B156" i="1"/>
  <c r="B166" i="1"/>
  <c r="B159" i="1"/>
  <c r="B152" i="1"/>
  <c r="B128" i="1"/>
  <c r="B116" i="1"/>
  <c r="B155" i="1" l="1"/>
  <c r="B68" i="1"/>
  <c r="B61" i="1"/>
  <c r="B54" i="1"/>
  <c r="B41" i="1"/>
  <c r="B25" i="1"/>
  <c r="B13" i="1"/>
  <c r="B11" i="1" s="1"/>
  <c r="R12" i="1"/>
  <c r="O21" i="1"/>
  <c r="N70" i="1"/>
  <c r="N71" i="1"/>
  <c r="N72" i="1"/>
  <c r="N73" i="1"/>
  <c r="N69" i="1"/>
  <c r="N66" i="1"/>
  <c r="N65" i="1"/>
  <c r="N63" i="1"/>
  <c r="N62" i="1"/>
  <c r="N56" i="1"/>
  <c r="N57" i="1"/>
  <c r="N58" i="1"/>
  <c r="N59" i="1"/>
  <c r="N55" i="1"/>
  <c r="N52" i="1"/>
  <c r="N42" i="1"/>
  <c r="N41" i="1" s="1"/>
  <c r="N33" i="1"/>
  <c r="R34" i="1" s="1"/>
  <c r="N23" i="1"/>
  <c r="C152" i="1"/>
  <c r="D152" i="1"/>
  <c r="E152" i="1"/>
  <c r="F152" i="1"/>
  <c r="G152" i="1"/>
  <c r="H152" i="1"/>
  <c r="I152" i="1"/>
  <c r="J152" i="1"/>
  <c r="K152" i="1"/>
  <c r="L152" i="1"/>
  <c r="M152" i="1"/>
  <c r="C128" i="1"/>
  <c r="D128" i="1"/>
  <c r="E128" i="1"/>
  <c r="F128" i="1"/>
  <c r="G128" i="1"/>
  <c r="H128" i="1"/>
  <c r="I128" i="1"/>
  <c r="J128" i="1"/>
  <c r="K128" i="1"/>
  <c r="L128" i="1"/>
  <c r="M128" i="1"/>
  <c r="C103" i="1"/>
  <c r="C102" i="1" s="1"/>
  <c r="D103" i="1"/>
  <c r="D102" i="1" s="1"/>
  <c r="E103" i="1"/>
  <c r="E102" i="1" s="1"/>
  <c r="F103" i="1"/>
  <c r="F102" i="1" s="1"/>
  <c r="G103" i="1"/>
  <c r="G102" i="1" s="1"/>
  <c r="H103" i="1"/>
  <c r="H102" i="1" s="1"/>
  <c r="I103" i="1"/>
  <c r="I102" i="1" s="1"/>
  <c r="J103" i="1"/>
  <c r="J102" i="1" s="1"/>
  <c r="K103" i="1"/>
  <c r="K102" i="1" s="1"/>
  <c r="L103" i="1"/>
  <c r="L102" i="1" s="1"/>
  <c r="M103" i="1"/>
  <c r="M102" i="1" s="1"/>
  <c r="C93" i="1"/>
  <c r="D93" i="1"/>
  <c r="E93" i="1"/>
  <c r="F93" i="1"/>
  <c r="G93" i="1"/>
  <c r="H93" i="1"/>
  <c r="I93" i="1"/>
  <c r="J93" i="1"/>
  <c r="K93" i="1"/>
  <c r="L93" i="1"/>
  <c r="M93" i="1"/>
  <c r="C87" i="1"/>
  <c r="D87" i="1"/>
  <c r="E87" i="1"/>
  <c r="F87" i="1"/>
  <c r="G87" i="1"/>
  <c r="H87" i="1"/>
  <c r="I87" i="1"/>
  <c r="J87" i="1"/>
  <c r="K87" i="1"/>
  <c r="L87" i="1"/>
  <c r="M87" i="1"/>
  <c r="B103" i="1"/>
  <c r="B102" i="1" s="1"/>
  <c r="B93" i="1"/>
  <c r="B87" i="1"/>
  <c r="B50" i="1"/>
  <c r="N48" i="1"/>
  <c r="N49" i="1"/>
  <c r="N47" i="1"/>
  <c r="B30" i="1" l="1"/>
  <c r="N30" i="1" s="1"/>
  <c r="N22" i="1" s="1"/>
  <c r="R23" i="1" s="1"/>
  <c r="R24" i="1"/>
  <c r="O10" i="1"/>
  <c r="R20" i="1"/>
  <c r="N68" i="1"/>
  <c r="N61" i="1"/>
  <c r="N54" i="1"/>
  <c r="B86" i="1"/>
  <c r="F86" i="1"/>
  <c r="J86" i="1"/>
  <c r="I86" i="1"/>
  <c r="M86" i="1"/>
  <c r="E86" i="1"/>
  <c r="H86" i="1"/>
  <c r="L86" i="1"/>
  <c r="D86" i="1"/>
  <c r="G86" i="1"/>
  <c r="K86" i="1"/>
  <c r="C86" i="1"/>
  <c r="B10" i="1"/>
  <c r="N50" i="1"/>
  <c r="B22" i="1" l="1"/>
  <c r="B21" i="1" s="1"/>
  <c r="N31" i="1"/>
  <c r="N34" i="1" s="1"/>
  <c r="N21" i="1"/>
  <c r="R22" i="1" s="1"/>
  <c r="P30" i="1"/>
  <c r="Q30" i="1" s="1"/>
  <c r="P38" i="1"/>
  <c r="Q38" i="1" s="1"/>
  <c r="P12" i="1"/>
  <c r="Q12" i="1" s="1"/>
  <c r="P39" i="1"/>
  <c r="Q39" i="1" s="1"/>
  <c r="R10" i="1"/>
  <c r="R11" i="1"/>
  <c r="O31" i="1"/>
  <c r="O34" i="1" s="1"/>
  <c r="P15" i="1"/>
  <c r="P29" i="1"/>
  <c r="Q29" i="1" s="1"/>
  <c r="P28" i="1"/>
  <c r="Q28" i="1" s="1"/>
  <c r="P19" i="1"/>
  <c r="Q19" i="1" s="1"/>
  <c r="P23" i="1"/>
  <c r="P24" i="1"/>
  <c r="Q24" i="1" s="1"/>
  <c r="P26" i="1"/>
  <c r="P33" i="1"/>
  <c r="Q33" i="1" s="1"/>
  <c r="P32" i="1"/>
  <c r="Q32" i="1" s="1"/>
  <c r="B31" i="1" l="1"/>
  <c r="B34" i="1" s="1"/>
  <c r="R21" i="1"/>
  <c r="R32" i="1"/>
  <c r="Q23" i="1"/>
  <c r="R31" i="1"/>
  <c r="Q15" i="1"/>
  <c r="P13" i="1"/>
  <c r="Q26" i="1"/>
  <c r="P25" i="1"/>
  <c r="Q25" i="1" s="1"/>
  <c r="P22" i="1" l="1"/>
  <c r="P21" i="1" s="1"/>
  <c r="Q21" i="1" s="1"/>
  <c r="P11" i="1"/>
  <c r="Q11" i="1" s="1"/>
  <c r="Q13" i="1"/>
  <c r="P10" i="1" l="1"/>
  <c r="Q22" i="1"/>
  <c r="Q10" i="1" l="1"/>
  <c r="P31" i="1"/>
  <c r="Q31" i="1" s="1"/>
  <c r="P34" i="1" l="1"/>
  <c r="Q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JCASLAP37</author>
  </authors>
  <commentList>
    <comment ref="A12" authorId="0" shapeId="0" xr:uid="{3630E2F5-DB74-48D5-B381-6F134DB2167A}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</commentList>
</comments>
</file>

<file path=xl/sharedStrings.xml><?xml version="1.0" encoding="utf-8"?>
<sst xmlns="http://schemas.openxmlformats.org/spreadsheetml/2006/main" count="179" uniqueCount="171">
  <si>
    <t>ESTADO COMPARATIVO DE EGRESOS PRESUPUESTADO &amp; EJERCIDO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</si>
  <si>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</si>
  <si>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</si>
  <si>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</si>
  <si>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</si>
  <si>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</si>
  <si>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</si>
  <si>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</si>
  <si>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</si>
  <si>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</si>
  <si>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</si>
  <si>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</si>
  <si>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</si>
  <si>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</si>
  <si>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</si>
  <si>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</si>
  <si>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Diferencia</t>
  </si>
  <si>
    <t>Ejer &amp; Ppto</t>
  </si>
  <si>
    <t>a) Ingresos propios (i+ii)</t>
  </si>
  <si>
    <t>ii) resto de los ingresos propios</t>
  </si>
  <si>
    <t>2. Egresos (A+B+C)</t>
  </si>
  <si>
    <t>a) Servicios personales</t>
  </si>
  <si>
    <t>b) Materiales y suministros</t>
  </si>
  <si>
    <t>Resultado del Ejercicio</t>
  </si>
  <si>
    <t>B) Creditos</t>
  </si>
  <si>
    <t>C) Inversiones propias</t>
  </si>
  <si>
    <t>D) Inversiones de Gobierno</t>
  </si>
  <si>
    <t>Energía Eléctrica de Operación en KW (A+B+C)</t>
  </si>
  <si>
    <t>A) Agua potable</t>
  </si>
  <si>
    <t>B) Alcantarillado</t>
  </si>
  <si>
    <t>C) Saneamiento</t>
  </si>
  <si>
    <t>Volumen de agua producida en m3</t>
  </si>
  <si>
    <t>Volumen de agua cobrado en m3 (A+B)</t>
  </si>
  <si>
    <t>Padrón de usuarios</t>
  </si>
  <si>
    <t>Total de conexiones de agua (A+B)</t>
  </si>
  <si>
    <t>A) Conexiones de servicio medido  (a+b+c+d+e)</t>
  </si>
  <si>
    <t>B) Conexiones de cuota fija (a+b+c+d+e)</t>
  </si>
  <si>
    <t xml:space="preserve">Analítico del Rezago </t>
  </si>
  <si>
    <t>Monto del Rezago (A+B+C)</t>
  </si>
  <si>
    <t>A) Rezago cobrable (a+b+c)</t>
  </si>
  <si>
    <t xml:space="preserve">Coberturas de servicios 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</si>
  <si>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</si>
  <si>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</si>
  <si>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</si>
  <si>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</si>
  <si>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</si>
  <si>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</si>
  <si>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macromedidores funcionando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</si>
  <si>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</si>
  <si>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</si>
  <si>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</si>
  <si>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</si>
  <si>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</si>
  <si>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</si>
  <si>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</si>
  <si>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</si>
  <si>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b) Comercialización</t>
  </si>
  <si>
    <t>c) Operación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</si>
  <si>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</si>
  <si>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</si>
  <si>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</si>
  <si>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</si>
  <si>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</si>
  <si>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</si>
  <si>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</si>
  <si>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</si>
  <si>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</si>
  <si>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Desglose Consumo Eléctrico</t>
  </si>
  <si>
    <t>kwh Básico</t>
  </si>
  <si>
    <t>kwh Intermedio</t>
  </si>
  <si>
    <t>kwh Pico (Excedente)</t>
  </si>
  <si>
    <t>kwh Totales</t>
  </si>
  <si>
    <t>Presupuesto Anual</t>
  </si>
  <si>
    <t>Presupuesto Acumulado del Periodo</t>
  </si>
  <si>
    <t>ii) Resto de los Servicios</t>
  </si>
  <si>
    <t>c) Servicios Generales (i+ii)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</si>
  <si>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</si>
  <si>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Volumen de agua facturada (medida) en m3 (A+B+C+D+E)</t>
  </si>
  <si>
    <t>Facturación de Agua, Drenaje y Saneamiento en $ (A+B+C+D+E)</t>
  </si>
  <si>
    <t>Total de descargas de drenaje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</si>
  <si>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</si>
  <si>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</si>
  <si>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</si>
  <si>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Cobrado de Agua, Drenaje y Saneamiento en $ (A+B+C+D+E)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</si>
  <si>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</si>
  <si>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</si>
  <si>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</si>
  <si>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</si>
  <si>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Del 1ro. de Enero al 31 de Diciembre del 2023</t>
  </si>
  <si>
    <t>B) De 3 a 6 meses</t>
  </si>
  <si>
    <t>A) 1 y 2 meses</t>
  </si>
  <si>
    <t>C) De 7 a 12 meses</t>
  </si>
  <si>
    <t>D) 13 meses en delante</t>
  </si>
  <si>
    <t>No. De tomas con rezago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</si>
  <si>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</si>
  <si>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</si>
  <si>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</si>
  <si>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</si>
  <si>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Total de usuarios en consumo de 0 a 20 m3 (A+B+C+D)</t>
  </si>
  <si>
    <t xml:space="preserve"> A) Tarifa domestica de 0 a 10 m3</t>
  </si>
  <si>
    <t xml:space="preserve"> B) Tarifa domestica de 15 m3</t>
  </si>
  <si>
    <t xml:space="preserve"> C) Tarifa domestica de 20 m3</t>
  </si>
  <si>
    <t>Precio de tarifas domesticas (A+B+C)</t>
  </si>
  <si>
    <t>No. habitantes según censo de INEGI (Localidad)</t>
  </si>
  <si>
    <t>d) Eventuales (al dia ultimo de mes)</t>
  </si>
  <si>
    <t>A) Empleados Activos (a+b+c+d)</t>
  </si>
  <si>
    <t>Saldo en Bancos</t>
  </si>
  <si>
    <t>e) Otros Gastos</t>
  </si>
  <si>
    <t>DFEA</t>
  </si>
  <si>
    <t>5% JCAS</t>
  </si>
  <si>
    <t>b) Descuento social (numero en negativo)</t>
  </si>
  <si>
    <t>c) Bonificaciones (numero en negativo)</t>
  </si>
  <si>
    <t>A) Doméstico m3</t>
  </si>
  <si>
    <t>B) Comercial m3</t>
  </si>
  <si>
    <t>C) Industrial m3</t>
  </si>
  <si>
    <t>D) Escolar m3</t>
  </si>
  <si>
    <t>E) Público m3</t>
  </si>
  <si>
    <t>A) A Tiempo m3</t>
  </si>
  <si>
    <t>B) Con Rezago m3</t>
  </si>
  <si>
    <t>A) Doméstico facturado</t>
  </si>
  <si>
    <t>B) Comercial facturado</t>
  </si>
  <si>
    <t>C) Industrial facturado</t>
  </si>
  <si>
    <t>D) Escolar facturado</t>
  </si>
  <si>
    <t>E) Público facturado</t>
  </si>
  <si>
    <t>A) Doméstico cobrado</t>
  </si>
  <si>
    <t>B) Comercial cobrado</t>
  </si>
  <si>
    <t>C) Industrial cobrado</t>
  </si>
  <si>
    <t>D) Escolar cobrado</t>
  </si>
  <si>
    <t>E) Público cobrado</t>
  </si>
  <si>
    <t>b) Con rezago $</t>
  </si>
  <si>
    <t>a) A tiempo $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</si>
  <si>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</si>
  <si>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</si>
  <si>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</si>
  <si>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</si>
  <si>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</si>
  <si>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a) Doméstico cuota fija</t>
  </si>
  <si>
    <t>b) Comercial cuota fija</t>
  </si>
  <si>
    <t>c) Industrial cuota fija</t>
  </si>
  <si>
    <t>d) Escolar cuota fija</t>
  </si>
  <si>
    <t>e) Público cuota fija</t>
  </si>
  <si>
    <t>a) Doméstico rezago</t>
  </si>
  <si>
    <t>b) Comercial rezago</t>
  </si>
  <si>
    <t>c) Industrial rezago</t>
  </si>
  <si>
    <t>B) Escolar rezago</t>
  </si>
  <si>
    <t>C) Público rezago</t>
  </si>
  <si>
    <t>C) Ingresos indirectos</t>
  </si>
  <si>
    <t>d) Transferencias, asignaciones, subsidios y ayudas</t>
  </si>
  <si>
    <t>1. Ingresos  (A+C)</t>
  </si>
  <si>
    <t>A) Ingresos propios netos (a+b+c)</t>
  </si>
  <si>
    <t>B) Ingresos por agua, alcantarillado y saneamiento netos (i+b+c)</t>
  </si>
  <si>
    <t>i) ingresos por agua, alcantarillado y saneamiento brutos</t>
  </si>
  <si>
    <t>d) Ajustes (numero en negativo) (DATO INFORMATIVO)</t>
  </si>
  <si>
    <t>i) Energía eléctrica</t>
  </si>
  <si>
    <t>Energía eléctrica (para suministro de agua) (DATO INFORMATIVO)</t>
  </si>
  <si>
    <t>A) Gastos de operación (a+b+c+d+e)</t>
  </si>
  <si>
    <t>Volumen de agua residual (por tratar) en m3 (Entrada a PTAR)</t>
  </si>
  <si>
    <t>Volumen de agua tratada en m3 (Salida de PTAR)</t>
  </si>
  <si>
    <t>No. de micromedidores fuera de servicio</t>
  </si>
  <si>
    <t>No. de micromedidores instalados nuevos en el mes</t>
  </si>
  <si>
    <t>No. de macromedidores fuera de servicio</t>
  </si>
  <si>
    <t>No. de macromedidores repuestos</t>
  </si>
  <si>
    <t>No. de micromedidores repuestos</t>
  </si>
  <si>
    <t>JUNTA MUNICIPAL DE AGUA Y SANEAMIENTO DE CASAS GRANDES</t>
  </si>
  <si>
    <t>Bajo protesta de decir la verdad declaramos que los Estados Financieros y sus Notas, son razonablemente correctos y son responsabilidad del emisor.</t>
  </si>
  <si>
    <t xml:space="preserve"> </t>
  </si>
  <si>
    <t xml:space="preserve">                                           ________________________________</t>
  </si>
  <si>
    <t xml:space="preserve">                                                       C. Juan Rafael Ochoa Castillo </t>
  </si>
  <si>
    <t xml:space="preserve">                                                 C.P. Braiyan Ulises Díaz Pacheco </t>
  </si>
  <si>
    <t xml:space="preserve">                                                                Director Ejecutivo</t>
  </si>
  <si>
    <t xml:space="preserve">                 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</si>
</sst>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b/>
      <i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9">
    <xf numFmtId="0" fontId="0" fillId="0" borderId="0" xfId="0"/>
    <xf numFmtId="43" fontId="13" fillId="2" borderId="3" xfId="1" applyFont="1" applyFill="1" applyBorder="1" applyAlignment="1" applyProtection="1">
      <alignment horizontal="right" vertical="center"/>
    </xf>
    <xf numFmtId="9" fontId="13" fillId="2" borderId="4" xfId="2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</xf>
    <xf numFmtId="9" fontId="15" fillId="0" borderId="7" xfId="2" applyFont="1" applyFill="1" applyBorder="1" applyAlignment="1" applyProtection="1">
      <alignment horizontal="right" vertical="center"/>
    </xf>
    <xf numFmtId="43" fontId="13" fillId="2" borderId="6" xfId="1" applyFont="1" applyFill="1" applyBorder="1" applyAlignment="1" applyProtection="1">
      <alignment horizontal="right" vertical="center"/>
    </xf>
    <xf numFmtId="43" fontId="13" fillId="0" borderId="6" xfId="1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  <protection locked="0"/>
    </xf>
    <xf numFmtId="164" fontId="15" fillId="0" borderId="6" xfId="1" applyNumberFormat="1" applyFont="1" applyFill="1" applyBorder="1" applyAlignment="1" applyProtection="1">
      <alignment horizontal="right" vertical="center"/>
    </xf>
    <xf numFmtId="164" fontId="13" fillId="2" borderId="6" xfId="1" applyNumberFormat="1" applyFont="1" applyFill="1" applyBorder="1" applyAlignment="1" applyProtection="1">
      <alignment horizontal="right" vertical="center"/>
    </xf>
    <xf numFmtId="164" fontId="13" fillId="0" borderId="6" xfId="1" applyNumberFormat="1" applyFont="1" applyFill="1" applyBorder="1" applyAlignment="1" applyProtection="1">
      <alignment horizontal="right" vertical="center"/>
    </xf>
    <xf numFmtId="164" fontId="15" fillId="0" borderId="6" xfId="1" applyNumberFormat="1" applyFont="1" applyFill="1" applyBorder="1" applyAlignment="1" applyProtection="1">
      <alignment horizontal="right" vertical="center"/>
      <protection locked="0"/>
    </xf>
    <xf numFmtId="164" fontId="15" fillId="0" borderId="9" xfId="1" applyNumberFormat="1" applyFont="1" applyFill="1" applyBorder="1" applyAlignment="1" applyProtection="1">
      <alignment horizontal="right" vertical="center"/>
      <protection locked="0"/>
    </xf>
    <xf numFmtId="9" fontId="15" fillId="0" borderId="6" xfId="2" applyFont="1" applyFill="1" applyBorder="1" applyAlignment="1" applyProtection="1">
      <alignment horizontal="right" vertical="center"/>
      <protection locked="0"/>
    </xf>
    <xf numFmtId="43" fontId="15" fillId="7" borderId="6" xfId="1" applyFont="1" applyFill="1" applyBorder="1" applyAlignment="1" applyProtection="1">
      <alignment horizontal="right" vertical="center"/>
      <protection locked="0"/>
    </xf>
    <xf numFmtId="43" fontId="15" fillId="3" borderId="6" xfId="1" applyFont="1" applyFill="1" applyBorder="1" applyAlignment="1" applyProtection="1">
      <alignment horizontal="right" vertical="center"/>
    </xf>
    <xf numFmtId="43" fontId="13" fillId="7" borderId="6" xfId="1" applyFont="1" applyFill="1" applyBorder="1" applyAlignment="1" applyProtection="1">
      <alignment horizontal="right" vertical="center"/>
      <protection locked="0"/>
    </xf>
    <xf numFmtId="164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3" fillId="7" borderId="6" xfId="1" applyNumberFormat="1" applyFont="1" applyFill="1" applyBorder="1" applyAlignment="1" applyProtection="1">
      <alignment horizontal="right" vertical="center"/>
      <protection locked="0"/>
    </xf>
    <xf numFmtId="165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7" fillId="7" borderId="6" xfId="1" applyNumberFormat="1" applyFont="1" applyFill="1" applyBorder="1" applyAlignment="1" applyProtection="1">
      <alignment horizontal="right" vertical="center"/>
      <protection locked="0"/>
    </xf>
    <xf numFmtId="164" fontId="15" fillId="7" borderId="9" xfId="1" applyNumberFormat="1" applyFont="1" applyFill="1" applyBorder="1" applyAlignment="1" applyProtection="1">
      <alignment horizontal="right" vertical="center"/>
      <protection locked="0"/>
    </xf>
    <xf numFmtId="164" fontId="18" fillId="0" borderId="7" xfId="1" applyNumberFormat="1" applyFont="1" applyFill="1" applyBorder="1" applyAlignment="1" applyProtection="1">
      <alignment horizontal="right" vertical="center"/>
    </xf>
    <xf numFmtId="43" fontId="15" fillId="8" borderId="6" xfId="1" applyFont="1" applyFill="1" applyBorder="1" applyAlignment="1" applyProtection="1">
      <alignment horizontal="right" vertical="center"/>
    </xf>
    <xf numFmtId="9" fontId="15" fillId="8" borderId="7" xfId="2" applyFont="1" applyFill="1" applyBorder="1" applyAlignment="1" applyProtection="1">
      <alignment horizontal="right" vertical="center"/>
    </xf>
    <xf numFmtId="43" fontId="15" fillId="9" borderId="6" xfId="1" applyFont="1" applyFill="1" applyBorder="1" applyAlignment="1" applyProtection="1">
      <alignment horizontal="right" vertical="center"/>
      <protection locked="0"/>
    </xf>
    <xf numFmtId="43" fontId="15" fillId="9" borderId="6" xfId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4" borderId="0" xfId="3" applyFont="1" applyFill="1" applyProtection="1">
      <protection locked="0"/>
    </xf>
    <xf numFmtId="0" fontId="8" fillId="0" borderId="0" xfId="0" applyFont="1" applyProtection="1">
      <protection locked="0"/>
    </xf>
    <xf numFmtId="1" fontId="9" fillId="0" borderId="0" xfId="3" applyNumberFormat="1" applyFont="1" applyAlignment="1" applyProtection="1">
      <alignment horizontal="center"/>
      <protection locked="0"/>
    </xf>
    <xf numFmtId="1" fontId="10" fillId="0" borderId="0" xfId="3" applyNumberFormat="1" applyFont="1" applyAlignment="1" applyProtection="1">
      <alignment horizontal="center"/>
      <protection locked="0"/>
    </xf>
    <xf numFmtId="0" fontId="4" fillId="0" borderId="0" xfId="3" applyFont="1" applyProtection="1">
      <protection locked="0"/>
    </xf>
    <xf numFmtId="0" fontId="11" fillId="6" borderId="1" xfId="3" applyFont="1" applyFill="1" applyBorder="1" applyAlignment="1" applyProtection="1">
      <alignment horizontal="center" vertical="center"/>
      <protection locked="0"/>
    </xf>
    <xf numFmtId="1" fontId="11" fillId="6" borderId="1" xfId="3" applyNumberFormat="1" applyFont="1" applyFill="1" applyBorder="1" applyAlignment="1" applyProtection="1">
      <alignment horizontal="center" vertical="center" wrapText="1"/>
      <protection locked="0"/>
    </xf>
    <xf numFmtId="1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43" fontId="13" fillId="2" borderId="3" xfId="1" applyFont="1" applyFill="1" applyBorder="1" applyAlignment="1" applyProtection="1">
      <alignment horizontal="right" vertical="center"/>
      <protection locked="0"/>
    </xf>
    <xf numFmtId="9" fontId="13" fillId="2" borderId="4" xfId="2" applyFont="1" applyFill="1" applyBorder="1" applyAlignment="1" applyProtection="1">
      <alignment horizontal="right" vertical="center"/>
      <protection locked="0"/>
    </xf>
    <xf numFmtId="9" fontId="15" fillId="0" borderId="7" xfId="2" applyFont="1" applyFill="1" applyBorder="1" applyAlignment="1" applyProtection="1">
      <alignment horizontal="right" vertical="center"/>
      <protection locked="0"/>
    </xf>
    <xf numFmtId="166" fontId="15" fillId="7" borderId="6" xfId="1" applyNumberFormat="1" applyFont="1" applyFill="1" applyBorder="1" applyAlignment="1" applyProtection="1">
      <alignment horizontal="right" vertical="center"/>
      <protection locked="0"/>
    </xf>
    <xf numFmtId="43" fontId="15" fillId="0" borderId="12" xfId="1" applyFont="1" applyFill="1" applyBorder="1" applyAlignment="1" applyProtection="1">
      <alignment horizontal="right" vertical="center"/>
      <protection locked="0"/>
    </xf>
    <xf numFmtId="43" fontId="13" fillId="2" borderId="6" xfId="1" applyFont="1" applyFill="1" applyBorder="1" applyAlignment="1" applyProtection="1">
      <alignment horizontal="right" vertical="center"/>
      <protection locked="0"/>
    </xf>
    <xf numFmtId="43" fontId="13" fillId="0" borderId="6" xfId="1" applyFont="1" applyFill="1" applyBorder="1" applyAlignment="1" applyProtection="1">
      <alignment horizontal="right" vertical="center"/>
      <protection locked="0"/>
    </xf>
    <xf numFmtId="9" fontId="13" fillId="2" borderId="7" xfId="2" applyFont="1" applyFill="1" applyBorder="1" applyAlignment="1" applyProtection="1">
      <alignment horizontal="right" vertical="center"/>
      <protection locked="0"/>
    </xf>
    <xf numFmtId="43" fontId="15" fillId="8" borderId="9" xfId="1" applyFont="1" applyFill="1" applyBorder="1" applyAlignment="1" applyProtection="1">
      <alignment horizontal="right" vertical="center"/>
      <protection locked="0"/>
    </xf>
    <xf numFmtId="0" fontId="0" fillId="8" borderId="0" xfId="0" applyFill="1" applyProtection="1">
      <protection locked="0"/>
    </xf>
    <xf numFmtId="43" fontId="15" fillId="0" borderId="11" xfId="1" applyFont="1" applyFill="1" applyBorder="1" applyAlignment="1" applyProtection="1">
      <alignment horizontal="right" vertical="center"/>
      <protection locked="0"/>
    </xf>
    <xf numFmtId="164" fontId="13" fillId="2" borderId="6" xfId="1" applyNumberFormat="1" applyFont="1" applyFill="1" applyBorder="1" applyAlignment="1" applyProtection="1">
      <alignment horizontal="right" vertical="center"/>
      <protection locked="0"/>
    </xf>
    <xf numFmtId="164" fontId="13" fillId="0" borderId="6" xfId="1" applyNumberFormat="1" applyFont="1" applyFill="1" applyBorder="1" applyAlignment="1" applyProtection="1">
      <alignment horizontal="right" vertical="center"/>
      <protection locked="0"/>
    </xf>
    <xf numFmtId="9" fontId="13" fillId="0" borderId="7" xfId="2" applyFont="1" applyFill="1" applyBorder="1" applyAlignment="1" applyProtection="1">
      <alignment horizontal="right" vertical="center"/>
      <protection locked="0"/>
    </xf>
    <xf numFmtId="164" fontId="13" fillId="9" borderId="6" xfId="1" applyNumberFormat="1" applyFont="1" applyFill="1" applyBorder="1" applyAlignment="1" applyProtection="1">
      <alignment horizontal="right" vertical="center"/>
      <protection locked="0"/>
    </xf>
    <xf numFmtId="43" fontId="13" fillId="9" borderId="6" xfId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left" vertical="center" indent="4"/>
      <protection locked="0"/>
    </xf>
    <xf numFmtId="0" fontId="15" fillId="0" borderId="5" xfId="0" applyFont="1" applyBorder="1" applyAlignment="1" applyProtection="1">
      <alignment horizontal="left" vertical="center" indent="2"/>
      <protection locked="0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9" fontId="15" fillId="0" borderId="10" xfId="2" applyFont="1" applyFill="1" applyBorder="1" applyAlignment="1" applyProtection="1">
      <alignment horizontal="right" vertical="center"/>
      <protection locked="0"/>
    </xf>
    <xf numFmtId="164" fontId="4" fillId="0" borderId="0" xfId="3" applyNumberFormat="1" applyFont="1" applyProtection="1">
      <protection locked="0"/>
    </xf>
    <xf numFmtId="9" fontId="15" fillId="0" borderId="6" xfId="2" applyFont="1" applyFill="1" applyBorder="1" applyAlignment="1" applyProtection="1">
      <alignment horizontal="right" vertical="center"/>
    </xf>
    <xf numFmtId="165" fontId="15" fillId="0" borderId="6" xfId="1" applyNumberFormat="1" applyFont="1" applyFill="1" applyBorder="1" applyAlignment="1" applyProtection="1">
      <alignment horizontal="right" vertical="center"/>
    </xf>
    <xf numFmtId="43" fontId="15" fillId="2" borderId="6" xfId="1" applyFont="1" applyFill="1" applyBorder="1" applyAlignment="1" applyProtection="1">
      <alignment horizontal="right" vertical="center"/>
      <protection locked="0"/>
    </xf>
    <xf numFmtId="43" fontId="15" fillId="2" borderId="6" xfId="1" applyFont="1" applyFill="1" applyBorder="1" applyAlignment="1" applyProtection="1">
      <alignment horizontal="right" vertical="center"/>
    </xf>
    <xf numFmtId="9" fontId="15" fillId="2" borderId="7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Protection="1">
      <protection locked="0"/>
    </xf>
    <xf numFmtId="0" fontId="11" fillId="0" borderId="1" xfId="3" applyFont="1" applyBorder="1" applyAlignment="1" applyProtection="1">
      <alignment horizontal="center" vertical="center"/>
      <protection locked="0"/>
    </xf>
    <xf numFmtId="1" fontId="11" fillId="0" borderId="1" xfId="3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 indent="2"/>
    </xf>
    <xf numFmtId="0" fontId="14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6"/>
    </xf>
    <xf numFmtId="0" fontId="15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left" vertical="center" indent="2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 indent="2"/>
    </xf>
    <xf numFmtId="0" fontId="13" fillId="9" borderId="5" xfId="0" applyFont="1" applyFill="1" applyBorder="1" applyAlignment="1">
      <alignment horizontal="left" vertical="center" indent="2"/>
    </xf>
    <xf numFmtId="0" fontId="6" fillId="9" borderId="5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" fontId="7" fillId="5" borderId="0" xfId="3" applyNumberFormat="1" applyFont="1" applyFill="1" applyProtection="1">
      <protection locked="0"/>
    </xf>
    <xf numFmtId="166" fontId="15" fillId="7" borderId="6" xfId="1" quotePrefix="1" applyNumberFormat="1" applyFont="1" applyFill="1" applyBorder="1" applyAlignment="1" applyProtection="1">
      <alignment horizontal="right" vertical="center"/>
      <protection locked="0"/>
    </xf>
    <xf numFmtId="9" fontId="15" fillId="0" borderId="13" xfId="2" applyFont="1" applyFill="1" applyBorder="1" applyAlignment="1" applyProtection="1">
      <alignment horizontal="right" vertical="center"/>
      <protection locked="0"/>
    </xf>
    <xf numFmtId="43" fontId="15" fillId="7" borderId="3" xfId="1" applyFont="1" applyFill="1" applyBorder="1" applyAlignment="1" applyProtection="1">
      <alignment horizontal="right" vertical="center"/>
      <protection locked="0"/>
    </xf>
    <xf numFmtId="43" fontId="15" fillId="0" borderId="3" xfId="1" applyFont="1" applyFill="1" applyBorder="1" applyAlignment="1" applyProtection="1">
      <alignment horizontal="right" vertical="center"/>
    </xf>
    <xf numFmtId="43" fontId="15" fillId="0" borderId="3" xfId="1" applyFont="1" applyFill="1" applyBorder="1" applyAlignment="1" applyProtection="1">
      <alignment horizontal="right" vertical="center"/>
      <protection locked="0"/>
    </xf>
    <xf numFmtId="9" fontId="15" fillId="0" borderId="4" xfId="2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left" vertical="center"/>
    </xf>
    <xf numFmtId="43" fontId="15" fillId="7" borderId="9" xfId="1" applyFont="1" applyFill="1" applyBorder="1" applyAlignment="1" applyProtection="1">
      <alignment horizontal="right" vertical="center"/>
      <protection locked="0"/>
    </xf>
    <xf numFmtId="43" fontId="15" fillId="0" borderId="9" xfId="1" applyFont="1" applyFill="1" applyBorder="1" applyAlignment="1" applyProtection="1">
      <alignment horizontal="right" vertical="center"/>
    </xf>
    <xf numFmtId="9" fontId="15" fillId="0" borderId="10" xfId="2" applyFont="1" applyFill="1" applyBorder="1" applyAlignment="1" applyProtection="1">
      <alignment horizontal="right" vertical="center"/>
    </xf>
    <xf numFmtId="9" fontId="15" fillId="0" borderId="15" xfId="2" applyFont="1" applyFill="1" applyBorder="1" applyAlignment="1" applyProtection="1">
      <alignment horizontal="right" vertical="center"/>
      <protection locked="0"/>
    </xf>
    <xf numFmtId="4" fontId="4" fillId="0" borderId="0" xfId="3" applyNumberFormat="1" applyFont="1" applyProtection="1">
      <protection locked="0"/>
    </xf>
    <xf numFmtId="8" fontId="15" fillId="7" borderId="3" xfId="1" applyNumberFormat="1" applyFont="1" applyFill="1" applyBorder="1" applyAlignment="1" applyProtection="1">
      <alignment horizontal="right" vertical="center"/>
      <protection locked="0"/>
    </xf>
    <xf numFmtId="43" fontId="4" fillId="0" borderId="0" xfId="3" applyNumberFormat="1" applyFont="1" applyProtection="1">
      <protection locked="0"/>
    </xf>
    <xf numFmtId="1" fontId="6" fillId="4" borderId="0" xfId="3" applyNumberFormat="1" applyFont="1" applyFill="1" applyAlignment="1" applyProtection="1">
      <alignment horizontal="center"/>
      <protection locked="0"/>
    </xf>
    <xf numFmtId="1" fontId="5" fillId="4" borderId="0" xfId="3" applyNumberFormat="1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1" fontId="7" fillId="5" borderId="0" xfId="3" applyNumberFormat="1" applyFont="1" applyFill="1" applyAlignment="1" applyProtection="1">
      <alignment horizontal="center"/>
      <protection locked="0"/>
    </xf>
  </cellXfs>
  <cellStyles count="4">
    <cellStyle name="Millares" xfId="1" builtinId="3"/>
    <cellStyle name="Normal" xfId="0" builtinId="0"/>
    <cellStyle name="Normal_FORMATO DEL PPTO. 2002  SEPT. 4" xfId="3" xr:uid="{00000000-0005-0000-0000-000002000000}"/>
    <cellStyle name="Porcentaje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0"/>
  <sheetViews>
    <sheetView tabSelected="1" topLeftCell="A169" zoomScale="90" zoomScaleNormal="90" workbookViewId="0">
      <selection activeCell="C193" sqref="C193"/>
    </sheetView>
  </sheetViews>
  <sheetFormatPr baseColWidth="10" defaultRowHeight="15" x14ac:dyDescent="0.25"/>
  <cols>
    <col min="1" max="1" width="74.140625" style="32" customWidth="1"/>
    <col min="2" max="2" width="19.7109375" style="32" customWidth="1"/>
    <col min="3" max="13" width="18.140625" style="32" customWidth="1"/>
    <col min="14" max="14" width="17.140625" style="32" customWidth="1"/>
    <col min="15" max="15" width="21" style="32" customWidth="1"/>
    <col min="16" max="16" width="19.5703125" style="32" customWidth="1"/>
    <col min="17" max="17" width="19.85546875" style="32" customWidth="1"/>
    <col min="18" max="18" width="11.42578125" style="32"/>
    <col min="19" max="257" width="11.42578125" style="27"/>
    <col min="258" max="258" width="71.28515625" style="27" bestFit="1" customWidth="1"/>
    <col min="259" max="260" width="15.5703125" style="27" bestFit="1" customWidth="1"/>
    <col min="261" max="271" width="11.42578125" style="27"/>
    <col min="272" max="272" width="14.85546875" style="27" customWidth="1"/>
    <col min="273" max="273" width="14.5703125" style="27" customWidth="1"/>
    <col min="274" max="513" width="11.42578125" style="27"/>
    <col min="514" max="514" width="71.28515625" style="27" bestFit="1" customWidth="1"/>
    <col min="515" max="516" width="15.5703125" style="27" bestFit="1" customWidth="1"/>
    <col min="517" max="527" width="11.42578125" style="27"/>
    <col min="528" max="528" width="14.85546875" style="27" customWidth="1"/>
    <col min="529" max="529" width="14.5703125" style="27" customWidth="1"/>
    <col min="530" max="769" width="11.42578125" style="27"/>
    <col min="770" max="770" width="71.28515625" style="27" bestFit="1" customWidth="1"/>
    <col min="771" max="772" width="15.5703125" style="27" bestFit="1" customWidth="1"/>
    <col min="773" max="783" width="11.42578125" style="27"/>
    <col min="784" max="784" width="14.85546875" style="27" customWidth="1"/>
    <col min="785" max="785" width="14.5703125" style="27" customWidth="1"/>
    <col min="786" max="1025" width="11.42578125" style="27"/>
    <col min="1026" max="1026" width="71.28515625" style="27" bestFit="1" customWidth="1"/>
    <col min="1027" max="1028" width="15.5703125" style="27" bestFit="1" customWidth="1"/>
    <col min="1029" max="1039" width="11.42578125" style="27"/>
    <col min="1040" max="1040" width="14.85546875" style="27" customWidth="1"/>
    <col min="1041" max="1041" width="14.5703125" style="27" customWidth="1"/>
    <col min="1042" max="1281" width="11.42578125" style="27"/>
    <col min="1282" max="1282" width="71.28515625" style="27" bestFit="1" customWidth="1"/>
    <col min="1283" max="1284" width="15.5703125" style="27" bestFit="1" customWidth="1"/>
    <col min="1285" max="1295" width="11.42578125" style="27"/>
    <col min="1296" max="1296" width="14.85546875" style="27" customWidth="1"/>
    <col min="1297" max="1297" width="14.5703125" style="27" customWidth="1"/>
    <col min="1298" max="1537" width="11.42578125" style="27"/>
    <col min="1538" max="1538" width="71.28515625" style="27" bestFit="1" customWidth="1"/>
    <col min="1539" max="1540" width="15.5703125" style="27" bestFit="1" customWidth="1"/>
    <col min="1541" max="1551" width="11.42578125" style="27"/>
    <col min="1552" max="1552" width="14.85546875" style="27" customWidth="1"/>
    <col min="1553" max="1553" width="14.5703125" style="27" customWidth="1"/>
    <col min="1554" max="1793" width="11.42578125" style="27"/>
    <col min="1794" max="1794" width="71.28515625" style="27" bestFit="1" customWidth="1"/>
    <col min="1795" max="1796" width="15.5703125" style="27" bestFit="1" customWidth="1"/>
    <col min="1797" max="1807" width="11.42578125" style="27"/>
    <col min="1808" max="1808" width="14.85546875" style="27" customWidth="1"/>
    <col min="1809" max="1809" width="14.5703125" style="27" customWidth="1"/>
    <col min="1810" max="2049" width="11.42578125" style="27"/>
    <col min="2050" max="2050" width="71.28515625" style="27" bestFit="1" customWidth="1"/>
    <col min="2051" max="2052" width="15.5703125" style="27" bestFit="1" customWidth="1"/>
    <col min="2053" max="2063" width="11.42578125" style="27"/>
    <col min="2064" max="2064" width="14.85546875" style="27" customWidth="1"/>
    <col min="2065" max="2065" width="14.5703125" style="27" customWidth="1"/>
    <col min="2066" max="2305" width="11.42578125" style="27"/>
    <col min="2306" max="2306" width="71.28515625" style="27" bestFit="1" customWidth="1"/>
    <col min="2307" max="2308" width="15.5703125" style="27" bestFit="1" customWidth="1"/>
    <col min="2309" max="2319" width="11.42578125" style="27"/>
    <col min="2320" max="2320" width="14.85546875" style="27" customWidth="1"/>
    <col min="2321" max="2321" width="14.5703125" style="27" customWidth="1"/>
    <col min="2322" max="2561" width="11.42578125" style="27"/>
    <col min="2562" max="2562" width="71.28515625" style="27" bestFit="1" customWidth="1"/>
    <col min="2563" max="2564" width="15.5703125" style="27" bestFit="1" customWidth="1"/>
    <col min="2565" max="2575" width="11.42578125" style="27"/>
    <col min="2576" max="2576" width="14.85546875" style="27" customWidth="1"/>
    <col min="2577" max="2577" width="14.5703125" style="27" customWidth="1"/>
    <col min="2578" max="2817" width="11.42578125" style="27"/>
    <col min="2818" max="2818" width="71.28515625" style="27" bestFit="1" customWidth="1"/>
    <col min="2819" max="2820" width="15.5703125" style="27" bestFit="1" customWidth="1"/>
    <col min="2821" max="2831" width="11.42578125" style="27"/>
    <col min="2832" max="2832" width="14.85546875" style="27" customWidth="1"/>
    <col min="2833" max="2833" width="14.5703125" style="27" customWidth="1"/>
    <col min="2834" max="3073" width="11.42578125" style="27"/>
    <col min="3074" max="3074" width="71.28515625" style="27" bestFit="1" customWidth="1"/>
    <col min="3075" max="3076" width="15.5703125" style="27" bestFit="1" customWidth="1"/>
    <col min="3077" max="3087" width="11.42578125" style="27"/>
    <col min="3088" max="3088" width="14.85546875" style="27" customWidth="1"/>
    <col min="3089" max="3089" width="14.5703125" style="27" customWidth="1"/>
    <col min="3090" max="3329" width="11.42578125" style="27"/>
    <col min="3330" max="3330" width="71.28515625" style="27" bestFit="1" customWidth="1"/>
    <col min="3331" max="3332" width="15.5703125" style="27" bestFit="1" customWidth="1"/>
    <col min="3333" max="3343" width="11.42578125" style="27"/>
    <col min="3344" max="3344" width="14.85546875" style="27" customWidth="1"/>
    <col min="3345" max="3345" width="14.5703125" style="27" customWidth="1"/>
    <col min="3346" max="3585" width="11.42578125" style="27"/>
    <col min="3586" max="3586" width="71.28515625" style="27" bestFit="1" customWidth="1"/>
    <col min="3587" max="3588" width="15.5703125" style="27" bestFit="1" customWidth="1"/>
    <col min="3589" max="3599" width="11.42578125" style="27"/>
    <col min="3600" max="3600" width="14.85546875" style="27" customWidth="1"/>
    <col min="3601" max="3601" width="14.5703125" style="27" customWidth="1"/>
    <col min="3602" max="3841" width="11.42578125" style="27"/>
    <col min="3842" max="3842" width="71.28515625" style="27" bestFit="1" customWidth="1"/>
    <col min="3843" max="3844" width="15.5703125" style="27" bestFit="1" customWidth="1"/>
    <col min="3845" max="3855" width="11.42578125" style="27"/>
    <col min="3856" max="3856" width="14.85546875" style="27" customWidth="1"/>
    <col min="3857" max="3857" width="14.5703125" style="27" customWidth="1"/>
    <col min="3858" max="4097" width="11.42578125" style="27"/>
    <col min="4098" max="4098" width="71.28515625" style="27" bestFit="1" customWidth="1"/>
    <col min="4099" max="4100" width="15.5703125" style="27" bestFit="1" customWidth="1"/>
    <col min="4101" max="4111" width="11.42578125" style="27"/>
    <col min="4112" max="4112" width="14.85546875" style="27" customWidth="1"/>
    <col min="4113" max="4113" width="14.5703125" style="27" customWidth="1"/>
    <col min="4114" max="4353" width="11.42578125" style="27"/>
    <col min="4354" max="4354" width="71.28515625" style="27" bestFit="1" customWidth="1"/>
    <col min="4355" max="4356" width="15.5703125" style="27" bestFit="1" customWidth="1"/>
    <col min="4357" max="4367" width="11.42578125" style="27"/>
    <col min="4368" max="4368" width="14.85546875" style="27" customWidth="1"/>
    <col min="4369" max="4369" width="14.5703125" style="27" customWidth="1"/>
    <col min="4370" max="4609" width="11.42578125" style="27"/>
    <col min="4610" max="4610" width="71.28515625" style="27" bestFit="1" customWidth="1"/>
    <col min="4611" max="4612" width="15.5703125" style="27" bestFit="1" customWidth="1"/>
    <col min="4613" max="4623" width="11.42578125" style="27"/>
    <col min="4624" max="4624" width="14.85546875" style="27" customWidth="1"/>
    <col min="4625" max="4625" width="14.5703125" style="27" customWidth="1"/>
    <col min="4626" max="4865" width="11.42578125" style="27"/>
    <col min="4866" max="4866" width="71.28515625" style="27" bestFit="1" customWidth="1"/>
    <col min="4867" max="4868" width="15.5703125" style="27" bestFit="1" customWidth="1"/>
    <col min="4869" max="4879" width="11.42578125" style="27"/>
    <col min="4880" max="4880" width="14.85546875" style="27" customWidth="1"/>
    <col min="4881" max="4881" width="14.5703125" style="27" customWidth="1"/>
    <col min="4882" max="5121" width="11.42578125" style="27"/>
    <col min="5122" max="5122" width="71.28515625" style="27" bestFit="1" customWidth="1"/>
    <col min="5123" max="5124" width="15.5703125" style="27" bestFit="1" customWidth="1"/>
    <col min="5125" max="5135" width="11.42578125" style="27"/>
    <col min="5136" max="5136" width="14.85546875" style="27" customWidth="1"/>
    <col min="5137" max="5137" width="14.5703125" style="27" customWidth="1"/>
    <col min="5138" max="5377" width="11.42578125" style="27"/>
    <col min="5378" max="5378" width="71.28515625" style="27" bestFit="1" customWidth="1"/>
    <col min="5379" max="5380" width="15.5703125" style="27" bestFit="1" customWidth="1"/>
    <col min="5381" max="5391" width="11.42578125" style="27"/>
    <col min="5392" max="5392" width="14.85546875" style="27" customWidth="1"/>
    <col min="5393" max="5393" width="14.5703125" style="27" customWidth="1"/>
    <col min="5394" max="5633" width="11.42578125" style="27"/>
    <col min="5634" max="5634" width="71.28515625" style="27" bestFit="1" customWidth="1"/>
    <col min="5635" max="5636" width="15.5703125" style="27" bestFit="1" customWidth="1"/>
    <col min="5637" max="5647" width="11.42578125" style="27"/>
    <col min="5648" max="5648" width="14.85546875" style="27" customWidth="1"/>
    <col min="5649" max="5649" width="14.5703125" style="27" customWidth="1"/>
    <col min="5650" max="5889" width="11.42578125" style="27"/>
    <col min="5890" max="5890" width="71.28515625" style="27" bestFit="1" customWidth="1"/>
    <col min="5891" max="5892" width="15.5703125" style="27" bestFit="1" customWidth="1"/>
    <col min="5893" max="5903" width="11.42578125" style="27"/>
    <col min="5904" max="5904" width="14.85546875" style="27" customWidth="1"/>
    <col min="5905" max="5905" width="14.5703125" style="27" customWidth="1"/>
    <col min="5906" max="6145" width="11.42578125" style="27"/>
    <col min="6146" max="6146" width="71.28515625" style="27" bestFit="1" customWidth="1"/>
    <col min="6147" max="6148" width="15.5703125" style="27" bestFit="1" customWidth="1"/>
    <col min="6149" max="6159" width="11.42578125" style="27"/>
    <col min="6160" max="6160" width="14.85546875" style="27" customWidth="1"/>
    <col min="6161" max="6161" width="14.5703125" style="27" customWidth="1"/>
    <col min="6162" max="6401" width="11.42578125" style="27"/>
    <col min="6402" max="6402" width="71.28515625" style="27" bestFit="1" customWidth="1"/>
    <col min="6403" max="6404" width="15.5703125" style="27" bestFit="1" customWidth="1"/>
    <col min="6405" max="6415" width="11.42578125" style="27"/>
    <col min="6416" max="6416" width="14.85546875" style="27" customWidth="1"/>
    <col min="6417" max="6417" width="14.5703125" style="27" customWidth="1"/>
    <col min="6418" max="6657" width="11.42578125" style="27"/>
    <col min="6658" max="6658" width="71.28515625" style="27" bestFit="1" customWidth="1"/>
    <col min="6659" max="6660" width="15.5703125" style="27" bestFit="1" customWidth="1"/>
    <col min="6661" max="6671" width="11.42578125" style="27"/>
    <col min="6672" max="6672" width="14.85546875" style="27" customWidth="1"/>
    <col min="6673" max="6673" width="14.5703125" style="27" customWidth="1"/>
    <col min="6674" max="6913" width="11.42578125" style="27"/>
    <col min="6914" max="6914" width="71.28515625" style="27" bestFit="1" customWidth="1"/>
    <col min="6915" max="6916" width="15.5703125" style="27" bestFit="1" customWidth="1"/>
    <col min="6917" max="6927" width="11.42578125" style="27"/>
    <col min="6928" max="6928" width="14.85546875" style="27" customWidth="1"/>
    <col min="6929" max="6929" width="14.5703125" style="27" customWidth="1"/>
    <col min="6930" max="7169" width="11.42578125" style="27"/>
    <col min="7170" max="7170" width="71.28515625" style="27" bestFit="1" customWidth="1"/>
    <col min="7171" max="7172" width="15.5703125" style="27" bestFit="1" customWidth="1"/>
    <col min="7173" max="7183" width="11.42578125" style="27"/>
    <col min="7184" max="7184" width="14.85546875" style="27" customWidth="1"/>
    <col min="7185" max="7185" width="14.5703125" style="27" customWidth="1"/>
    <col min="7186" max="7425" width="11.42578125" style="27"/>
    <col min="7426" max="7426" width="71.28515625" style="27" bestFit="1" customWidth="1"/>
    <col min="7427" max="7428" width="15.5703125" style="27" bestFit="1" customWidth="1"/>
    <col min="7429" max="7439" width="11.42578125" style="27"/>
    <col min="7440" max="7440" width="14.85546875" style="27" customWidth="1"/>
    <col min="7441" max="7441" width="14.5703125" style="27" customWidth="1"/>
    <col min="7442" max="7681" width="11.42578125" style="27"/>
    <col min="7682" max="7682" width="71.28515625" style="27" bestFit="1" customWidth="1"/>
    <col min="7683" max="7684" width="15.5703125" style="27" bestFit="1" customWidth="1"/>
    <col min="7685" max="7695" width="11.42578125" style="27"/>
    <col min="7696" max="7696" width="14.85546875" style="27" customWidth="1"/>
    <col min="7697" max="7697" width="14.5703125" style="27" customWidth="1"/>
    <col min="7698" max="7937" width="11.42578125" style="27"/>
    <col min="7938" max="7938" width="71.28515625" style="27" bestFit="1" customWidth="1"/>
    <col min="7939" max="7940" width="15.5703125" style="27" bestFit="1" customWidth="1"/>
    <col min="7941" max="7951" width="11.42578125" style="27"/>
    <col min="7952" max="7952" width="14.85546875" style="27" customWidth="1"/>
    <col min="7953" max="7953" width="14.5703125" style="27" customWidth="1"/>
    <col min="7954" max="8193" width="11.42578125" style="27"/>
    <col min="8194" max="8194" width="71.28515625" style="27" bestFit="1" customWidth="1"/>
    <col min="8195" max="8196" width="15.5703125" style="27" bestFit="1" customWidth="1"/>
    <col min="8197" max="8207" width="11.42578125" style="27"/>
    <col min="8208" max="8208" width="14.85546875" style="27" customWidth="1"/>
    <col min="8209" max="8209" width="14.5703125" style="27" customWidth="1"/>
    <col min="8210" max="8449" width="11.42578125" style="27"/>
    <col min="8450" max="8450" width="71.28515625" style="27" bestFit="1" customWidth="1"/>
    <col min="8451" max="8452" width="15.5703125" style="27" bestFit="1" customWidth="1"/>
    <col min="8453" max="8463" width="11.42578125" style="27"/>
    <col min="8464" max="8464" width="14.85546875" style="27" customWidth="1"/>
    <col min="8465" max="8465" width="14.5703125" style="27" customWidth="1"/>
    <col min="8466" max="8705" width="11.42578125" style="27"/>
    <col min="8706" max="8706" width="71.28515625" style="27" bestFit="1" customWidth="1"/>
    <col min="8707" max="8708" width="15.5703125" style="27" bestFit="1" customWidth="1"/>
    <col min="8709" max="8719" width="11.42578125" style="27"/>
    <col min="8720" max="8720" width="14.85546875" style="27" customWidth="1"/>
    <col min="8721" max="8721" width="14.5703125" style="27" customWidth="1"/>
    <col min="8722" max="8961" width="11.42578125" style="27"/>
    <col min="8962" max="8962" width="71.28515625" style="27" bestFit="1" customWidth="1"/>
    <col min="8963" max="8964" width="15.5703125" style="27" bestFit="1" customWidth="1"/>
    <col min="8965" max="8975" width="11.42578125" style="27"/>
    <col min="8976" max="8976" width="14.85546875" style="27" customWidth="1"/>
    <col min="8977" max="8977" width="14.5703125" style="27" customWidth="1"/>
    <col min="8978" max="9217" width="11.42578125" style="27"/>
    <col min="9218" max="9218" width="71.28515625" style="27" bestFit="1" customWidth="1"/>
    <col min="9219" max="9220" width="15.5703125" style="27" bestFit="1" customWidth="1"/>
    <col min="9221" max="9231" width="11.42578125" style="27"/>
    <col min="9232" max="9232" width="14.85546875" style="27" customWidth="1"/>
    <col min="9233" max="9233" width="14.5703125" style="27" customWidth="1"/>
    <col min="9234" max="9473" width="11.42578125" style="27"/>
    <col min="9474" max="9474" width="71.28515625" style="27" bestFit="1" customWidth="1"/>
    <col min="9475" max="9476" width="15.5703125" style="27" bestFit="1" customWidth="1"/>
    <col min="9477" max="9487" width="11.42578125" style="27"/>
    <col min="9488" max="9488" width="14.85546875" style="27" customWidth="1"/>
    <col min="9489" max="9489" width="14.5703125" style="27" customWidth="1"/>
    <col min="9490" max="9729" width="11.42578125" style="27"/>
    <col min="9730" max="9730" width="71.28515625" style="27" bestFit="1" customWidth="1"/>
    <col min="9731" max="9732" width="15.5703125" style="27" bestFit="1" customWidth="1"/>
    <col min="9733" max="9743" width="11.42578125" style="27"/>
    <col min="9744" max="9744" width="14.85546875" style="27" customWidth="1"/>
    <col min="9745" max="9745" width="14.5703125" style="27" customWidth="1"/>
    <col min="9746" max="9985" width="11.42578125" style="27"/>
    <col min="9986" max="9986" width="71.28515625" style="27" bestFit="1" customWidth="1"/>
    <col min="9987" max="9988" width="15.5703125" style="27" bestFit="1" customWidth="1"/>
    <col min="9989" max="9999" width="11.42578125" style="27"/>
    <col min="10000" max="10000" width="14.85546875" style="27" customWidth="1"/>
    <col min="10001" max="10001" width="14.5703125" style="27" customWidth="1"/>
    <col min="10002" max="10241" width="11.42578125" style="27"/>
    <col min="10242" max="10242" width="71.28515625" style="27" bestFit="1" customWidth="1"/>
    <col min="10243" max="10244" width="15.5703125" style="27" bestFit="1" customWidth="1"/>
    <col min="10245" max="10255" width="11.42578125" style="27"/>
    <col min="10256" max="10256" width="14.85546875" style="27" customWidth="1"/>
    <col min="10257" max="10257" width="14.5703125" style="27" customWidth="1"/>
    <col min="10258" max="10497" width="11.42578125" style="27"/>
    <col min="10498" max="10498" width="71.28515625" style="27" bestFit="1" customWidth="1"/>
    <col min="10499" max="10500" width="15.5703125" style="27" bestFit="1" customWidth="1"/>
    <col min="10501" max="10511" width="11.42578125" style="27"/>
    <col min="10512" max="10512" width="14.85546875" style="27" customWidth="1"/>
    <col min="10513" max="10513" width="14.5703125" style="27" customWidth="1"/>
    <col min="10514" max="10753" width="11.42578125" style="27"/>
    <col min="10754" max="10754" width="71.28515625" style="27" bestFit="1" customWidth="1"/>
    <col min="10755" max="10756" width="15.5703125" style="27" bestFit="1" customWidth="1"/>
    <col min="10757" max="10767" width="11.42578125" style="27"/>
    <col min="10768" max="10768" width="14.85546875" style="27" customWidth="1"/>
    <col min="10769" max="10769" width="14.5703125" style="27" customWidth="1"/>
    <col min="10770" max="11009" width="11.42578125" style="27"/>
    <col min="11010" max="11010" width="71.28515625" style="27" bestFit="1" customWidth="1"/>
    <col min="11011" max="11012" width="15.5703125" style="27" bestFit="1" customWidth="1"/>
    <col min="11013" max="11023" width="11.42578125" style="27"/>
    <col min="11024" max="11024" width="14.85546875" style="27" customWidth="1"/>
    <col min="11025" max="11025" width="14.5703125" style="27" customWidth="1"/>
    <col min="11026" max="11265" width="11.42578125" style="27"/>
    <col min="11266" max="11266" width="71.28515625" style="27" bestFit="1" customWidth="1"/>
    <col min="11267" max="11268" width="15.5703125" style="27" bestFit="1" customWidth="1"/>
    <col min="11269" max="11279" width="11.42578125" style="27"/>
    <col min="11280" max="11280" width="14.85546875" style="27" customWidth="1"/>
    <col min="11281" max="11281" width="14.5703125" style="27" customWidth="1"/>
    <col min="11282" max="11521" width="11.42578125" style="27"/>
    <col min="11522" max="11522" width="71.28515625" style="27" bestFit="1" customWidth="1"/>
    <col min="11523" max="11524" width="15.5703125" style="27" bestFit="1" customWidth="1"/>
    <col min="11525" max="11535" width="11.42578125" style="27"/>
    <col min="11536" max="11536" width="14.85546875" style="27" customWidth="1"/>
    <col min="11537" max="11537" width="14.5703125" style="27" customWidth="1"/>
    <col min="11538" max="11777" width="11.42578125" style="27"/>
    <col min="11778" max="11778" width="71.28515625" style="27" bestFit="1" customWidth="1"/>
    <col min="11779" max="11780" width="15.5703125" style="27" bestFit="1" customWidth="1"/>
    <col min="11781" max="11791" width="11.42578125" style="27"/>
    <col min="11792" max="11792" width="14.85546875" style="27" customWidth="1"/>
    <col min="11793" max="11793" width="14.5703125" style="27" customWidth="1"/>
    <col min="11794" max="12033" width="11.42578125" style="27"/>
    <col min="12034" max="12034" width="71.28515625" style="27" bestFit="1" customWidth="1"/>
    <col min="12035" max="12036" width="15.5703125" style="27" bestFit="1" customWidth="1"/>
    <col min="12037" max="12047" width="11.42578125" style="27"/>
    <col min="12048" max="12048" width="14.85546875" style="27" customWidth="1"/>
    <col min="12049" max="12049" width="14.5703125" style="27" customWidth="1"/>
    <col min="12050" max="12289" width="11.42578125" style="27"/>
    <col min="12290" max="12290" width="71.28515625" style="27" bestFit="1" customWidth="1"/>
    <col min="12291" max="12292" width="15.5703125" style="27" bestFit="1" customWidth="1"/>
    <col min="12293" max="12303" width="11.42578125" style="27"/>
    <col min="12304" max="12304" width="14.85546875" style="27" customWidth="1"/>
    <col min="12305" max="12305" width="14.5703125" style="27" customWidth="1"/>
    <col min="12306" max="12545" width="11.42578125" style="27"/>
    <col min="12546" max="12546" width="71.28515625" style="27" bestFit="1" customWidth="1"/>
    <col min="12547" max="12548" width="15.5703125" style="27" bestFit="1" customWidth="1"/>
    <col min="12549" max="12559" width="11.42578125" style="27"/>
    <col min="12560" max="12560" width="14.85546875" style="27" customWidth="1"/>
    <col min="12561" max="12561" width="14.5703125" style="27" customWidth="1"/>
    <col min="12562" max="12801" width="11.42578125" style="27"/>
    <col min="12802" max="12802" width="71.28515625" style="27" bestFit="1" customWidth="1"/>
    <col min="12803" max="12804" width="15.5703125" style="27" bestFit="1" customWidth="1"/>
    <col min="12805" max="12815" width="11.42578125" style="27"/>
    <col min="12816" max="12816" width="14.85546875" style="27" customWidth="1"/>
    <col min="12817" max="12817" width="14.5703125" style="27" customWidth="1"/>
    <col min="12818" max="13057" width="11.42578125" style="27"/>
    <col min="13058" max="13058" width="71.28515625" style="27" bestFit="1" customWidth="1"/>
    <col min="13059" max="13060" width="15.5703125" style="27" bestFit="1" customWidth="1"/>
    <col min="13061" max="13071" width="11.42578125" style="27"/>
    <col min="13072" max="13072" width="14.85546875" style="27" customWidth="1"/>
    <col min="13073" max="13073" width="14.5703125" style="27" customWidth="1"/>
    <col min="13074" max="13313" width="11.42578125" style="27"/>
    <col min="13314" max="13314" width="71.28515625" style="27" bestFit="1" customWidth="1"/>
    <col min="13315" max="13316" width="15.5703125" style="27" bestFit="1" customWidth="1"/>
    <col min="13317" max="13327" width="11.42578125" style="27"/>
    <col min="13328" max="13328" width="14.85546875" style="27" customWidth="1"/>
    <col min="13329" max="13329" width="14.5703125" style="27" customWidth="1"/>
    <col min="13330" max="13569" width="11.42578125" style="27"/>
    <col min="13570" max="13570" width="71.28515625" style="27" bestFit="1" customWidth="1"/>
    <col min="13571" max="13572" width="15.5703125" style="27" bestFit="1" customWidth="1"/>
    <col min="13573" max="13583" width="11.42578125" style="27"/>
    <col min="13584" max="13584" width="14.85546875" style="27" customWidth="1"/>
    <col min="13585" max="13585" width="14.5703125" style="27" customWidth="1"/>
    <col min="13586" max="13825" width="11.42578125" style="27"/>
    <col min="13826" max="13826" width="71.28515625" style="27" bestFit="1" customWidth="1"/>
    <col min="13827" max="13828" width="15.5703125" style="27" bestFit="1" customWidth="1"/>
    <col min="13829" max="13839" width="11.42578125" style="27"/>
    <col min="13840" max="13840" width="14.85546875" style="27" customWidth="1"/>
    <col min="13841" max="13841" width="14.5703125" style="27" customWidth="1"/>
    <col min="13842" max="14081" width="11.42578125" style="27"/>
    <col min="14082" max="14082" width="71.28515625" style="27" bestFit="1" customWidth="1"/>
    <col min="14083" max="14084" width="15.5703125" style="27" bestFit="1" customWidth="1"/>
    <col min="14085" max="14095" width="11.42578125" style="27"/>
    <col min="14096" max="14096" width="14.85546875" style="27" customWidth="1"/>
    <col min="14097" max="14097" width="14.5703125" style="27" customWidth="1"/>
    <col min="14098" max="14337" width="11.42578125" style="27"/>
    <col min="14338" max="14338" width="71.28515625" style="27" bestFit="1" customWidth="1"/>
    <col min="14339" max="14340" width="15.5703125" style="27" bestFit="1" customWidth="1"/>
    <col min="14341" max="14351" width="11.42578125" style="27"/>
    <col min="14352" max="14352" width="14.85546875" style="27" customWidth="1"/>
    <col min="14353" max="14353" width="14.5703125" style="27" customWidth="1"/>
    <col min="14354" max="14593" width="11.42578125" style="27"/>
    <col min="14594" max="14594" width="71.28515625" style="27" bestFit="1" customWidth="1"/>
    <col min="14595" max="14596" width="15.5703125" style="27" bestFit="1" customWidth="1"/>
    <col min="14597" max="14607" width="11.42578125" style="27"/>
    <col min="14608" max="14608" width="14.85546875" style="27" customWidth="1"/>
    <col min="14609" max="14609" width="14.5703125" style="27" customWidth="1"/>
    <col min="14610" max="14849" width="11.42578125" style="27"/>
    <col min="14850" max="14850" width="71.28515625" style="27" bestFit="1" customWidth="1"/>
    <col min="14851" max="14852" width="15.5703125" style="27" bestFit="1" customWidth="1"/>
    <col min="14853" max="14863" width="11.42578125" style="27"/>
    <col min="14864" max="14864" width="14.85546875" style="27" customWidth="1"/>
    <col min="14865" max="14865" width="14.5703125" style="27" customWidth="1"/>
    <col min="14866" max="15105" width="11.42578125" style="27"/>
    <col min="15106" max="15106" width="71.28515625" style="27" bestFit="1" customWidth="1"/>
    <col min="15107" max="15108" width="15.5703125" style="27" bestFit="1" customWidth="1"/>
    <col min="15109" max="15119" width="11.42578125" style="27"/>
    <col min="15120" max="15120" width="14.85546875" style="27" customWidth="1"/>
    <col min="15121" max="15121" width="14.5703125" style="27" customWidth="1"/>
    <col min="15122" max="15361" width="11.42578125" style="27"/>
    <col min="15362" max="15362" width="71.28515625" style="27" bestFit="1" customWidth="1"/>
    <col min="15363" max="15364" width="15.5703125" style="27" bestFit="1" customWidth="1"/>
    <col min="15365" max="15375" width="11.42578125" style="27"/>
    <col min="15376" max="15376" width="14.85546875" style="27" customWidth="1"/>
    <col min="15377" max="15377" width="14.5703125" style="27" customWidth="1"/>
    <col min="15378" max="15617" width="11.42578125" style="27"/>
    <col min="15618" max="15618" width="71.28515625" style="27" bestFit="1" customWidth="1"/>
    <col min="15619" max="15620" width="15.5703125" style="27" bestFit="1" customWidth="1"/>
    <col min="15621" max="15631" width="11.42578125" style="27"/>
    <col min="15632" max="15632" width="14.85546875" style="27" customWidth="1"/>
    <col min="15633" max="15633" width="14.5703125" style="27" customWidth="1"/>
    <col min="15634" max="15873" width="11.42578125" style="27"/>
    <col min="15874" max="15874" width="71.28515625" style="27" bestFit="1" customWidth="1"/>
    <col min="15875" max="15876" width="15.5703125" style="27" bestFit="1" customWidth="1"/>
    <col min="15877" max="15887" width="11.42578125" style="27"/>
    <col min="15888" max="15888" width="14.85546875" style="27" customWidth="1"/>
    <col min="15889" max="15889" width="14.5703125" style="27" customWidth="1"/>
    <col min="15890" max="16129" width="11.42578125" style="27"/>
    <col min="16130" max="16130" width="71.28515625" style="27" bestFit="1" customWidth="1"/>
    <col min="16131" max="16132" width="15.5703125" style="27" bestFit="1" customWidth="1"/>
    <col min="16133" max="16143" width="11.42578125" style="27"/>
    <col min="16144" max="16144" width="14.85546875" style="27" customWidth="1"/>
    <col min="16145" max="16145" width="14.5703125" style="27" customWidth="1"/>
    <col min="16146" max="16384" width="11.42578125" style="27"/>
  </cols>
  <sheetData>
    <row r="1" spans="1:18" ht="20.25" x14ac:dyDescent="0.3">
      <c r="A1" s="107" t="s">
        <v>163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8" x14ac:dyDescent="0.25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5" t="s">
        <v>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8" x14ac:dyDescent="0.25">
      <c r="A6" s="108" t="s">
        <v>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90"/>
      <c r="Q6" s="90"/>
      <c r="R6" s="90"/>
    </row>
    <row r="7" spans="1:18" ht="15.75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5.75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</row>
    <row r="9" spans="1:18" ht="47.25" x14ac:dyDescent="0.25">
      <c r="A9" s="33" t="s">
        <v>2</v>
      </c>
      <c r="B9" s="34" t="s">
        <v>3</v>
      </c>
      <c r="C9" s="34" t="s">
        <v>4</v>
      </c>
      <c r="D9" s="34" t="s">
        <v>5</v>
      </c>
      <c r="E9" s="34" t="s">
        <v>6</v>
      </c>
      <c r="F9" s="34" t="s">
        <v>7</v>
      </c>
      <c r="G9" s="34" t="s">
        <v>8</v>
      </c>
      <c r="H9" s="34" t="s">
        <v>9</v>
      </c>
      <c r="I9" s="34" t="s">
        <v>10</v>
      </c>
      <c r="J9" s="34" t="s">
        <v>11</v>
      </c>
      <c r="K9" s="34" t="s">
        <v>12</v>
      </c>
      <c r="L9" s="34" t="s">
        <v>13</v>
      </c>
      <c r="M9" s="34" t="s">
        <v>14</v>
      </c>
      <c r="N9" s="34" t="s">
        <v>15</v>
      </c>
      <c r="O9" s="34" t="s">
        <v>72</v>
      </c>
      <c r="P9" s="34" t="s">
        <v>73</v>
      </c>
      <c r="Q9" s="34" t="s">
        <v>16</v>
      </c>
      <c r="R9" s="35" t="s">
        <v>17</v>
      </c>
    </row>
    <row r="10" spans="1:18" ht="15.75" x14ac:dyDescent="0.25">
      <c r="A10" s="69" t="s">
        <v>148</v>
      </c>
      <c r="B10" s="1">
        <f>+B11+B19</f>
        <v>645162.86</v>
      </c>
      <c r="C10" s="1">
        <f t="shared" ref="C10:N10" si="0">+C11+C19</f>
        <v>429903.90999999992</v>
      </c>
      <c r="D10" s="1">
        <f t="shared" si="0"/>
        <v>532759.37</v>
      </c>
      <c r="E10" s="1">
        <f t="shared" si="0"/>
        <v>490371.54</v>
      </c>
      <c r="F10" s="1">
        <f t="shared" si="0"/>
        <v>1601442.28</v>
      </c>
      <c r="G10" s="1">
        <f t="shared" si="0"/>
        <v>1255420.56</v>
      </c>
      <c r="H10" s="1">
        <f t="shared" si="0"/>
        <v>1386570.5</v>
      </c>
      <c r="I10" s="1">
        <f t="shared" si="0"/>
        <v>998713.64</v>
      </c>
      <c r="J10" s="1">
        <f t="shared" si="0"/>
        <v>852375.16</v>
      </c>
      <c r="K10" s="1">
        <f t="shared" si="0"/>
        <v>889599.57</v>
      </c>
      <c r="L10" s="1">
        <f t="shared" si="0"/>
        <v>703782.23999999987</v>
      </c>
      <c r="M10" s="1">
        <f t="shared" si="0"/>
        <v>647375.19000000006</v>
      </c>
      <c r="N10" s="1">
        <f t="shared" si="0"/>
        <v>10433476.819999998</v>
      </c>
      <c r="O10" s="1">
        <f>+O11+O19</f>
        <v>8432746.5700000003</v>
      </c>
      <c r="P10" s="1">
        <f>+P11+P19</f>
        <v>8432746.5700000003</v>
      </c>
      <c r="Q10" s="1">
        <f>+N10-P10</f>
        <v>2000730.2499999981</v>
      </c>
      <c r="R10" s="2">
        <f>+N10/O10</f>
        <v>1.2372572486783506</v>
      </c>
    </row>
    <row r="11" spans="1:18" x14ac:dyDescent="0.25">
      <c r="A11" s="70" t="s">
        <v>149</v>
      </c>
      <c r="B11" s="3">
        <f>+B13+B16+B17</f>
        <v>645155.93999999994</v>
      </c>
      <c r="C11" s="3">
        <f t="shared" ref="C11:N11" si="1">+C13+C16+C17</f>
        <v>429894.43999999994</v>
      </c>
      <c r="D11" s="3">
        <f t="shared" si="1"/>
        <v>532732.07999999996</v>
      </c>
      <c r="E11" s="3">
        <f t="shared" si="1"/>
        <v>490361.63</v>
      </c>
      <c r="F11" s="3">
        <f t="shared" si="1"/>
        <v>603049.76</v>
      </c>
      <c r="G11" s="3">
        <f t="shared" si="1"/>
        <v>609472.84000000008</v>
      </c>
      <c r="H11" s="3">
        <f t="shared" si="1"/>
        <v>1386512.08</v>
      </c>
      <c r="I11" s="3">
        <f t="shared" si="1"/>
        <v>998711.53</v>
      </c>
      <c r="J11" s="3">
        <f t="shared" si="1"/>
        <v>852359.48</v>
      </c>
      <c r="K11" s="3">
        <f t="shared" si="1"/>
        <v>889689.46</v>
      </c>
      <c r="L11" s="3">
        <f t="shared" si="1"/>
        <v>703819.91999999993</v>
      </c>
      <c r="M11" s="3">
        <f t="shared" si="1"/>
        <v>647401.4</v>
      </c>
      <c r="N11" s="3">
        <f t="shared" si="1"/>
        <v>8789160.5599999987</v>
      </c>
      <c r="O11" s="3">
        <f>+O13+O16+O17</f>
        <v>8432746.5700000003</v>
      </c>
      <c r="P11" s="3">
        <f>+P13</f>
        <v>8432746.5700000003</v>
      </c>
      <c r="Q11" s="3">
        <f>+N11-P11</f>
        <v>356413.98999999836</v>
      </c>
      <c r="R11" s="4">
        <f>+N10/O10</f>
        <v>1.2372572486783506</v>
      </c>
    </row>
    <row r="12" spans="1:18" x14ac:dyDescent="0.25">
      <c r="A12" s="70" t="s">
        <v>150</v>
      </c>
      <c r="B12" s="3">
        <f>+B14+B16+B17</f>
        <v>609801.66</v>
      </c>
      <c r="C12" s="3">
        <f t="shared" ref="C12:N12" si="2">+C14+C16+C17</f>
        <v>398978.63</v>
      </c>
      <c r="D12" s="3">
        <f t="shared" si="2"/>
        <v>508431.51</v>
      </c>
      <c r="E12" s="3">
        <f t="shared" si="2"/>
        <v>470990.73</v>
      </c>
      <c r="F12" s="3">
        <f t="shared" si="2"/>
        <v>590871.94999999995</v>
      </c>
      <c r="G12" s="3">
        <f t="shared" si="2"/>
        <v>587787.01</v>
      </c>
      <c r="H12" s="3">
        <f t="shared" si="2"/>
        <v>1315394.8400000001</v>
      </c>
      <c r="I12" s="3">
        <f t="shared" si="2"/>
        <v>949822.67</v>
      </c>
      <c r="J12" s="3">
        <f t="shared" si="2"/>
        <v>826237.43</v>
      </c>
      <c r="K12" s="3">
        <f t="shared" si="2"/>
        <v>847623.87</v>
      </c>
      <c r="L12" s="3">
        <f t="shared" si="2"/>
        <v>675981.34</v>
      </c>
      <c r="M12" s="3">
        <f t="shared" si="2"/>
        <v>621795.41</v>
      </c>
      <c r="N12" s="3">
        <f t="shared" si="2"/>
        <v>8403717.0499999989</v>
      </c>
      <c r="O12" s="14">
        <v>8432746.5700000003</v>
      </c>
      <c r="P12" s="3">
        <f t="shared" ref="P12:P19" si="3">+O12/12*$R$20</f>
        <v>8432746.5700000003</v>
      </c>
      <c r="Q12" s="3">
        <f>+N12-P12</f>
        <v>-29029.520000001416</v>
      </c>
      <c r="R12" s="4">
        <f t="shared" ref="R12:R13" si="4">+N11/O11</f>
        <v>1.0422654691495132</v>
      </c>
    </row>
    <row r="13" spans="1:18" x14ac:dyDescent="0.25">
      <c r="A13" s="71" t="s">
        <v>18</v>
      </c>
      <c r="B13" s="3">
        <f>+B14+B15</f>
        <v>645155.93999999994</v>
      </c>
      <c r="C13" s="3">
        <f t="shared" ref="C13:N13" si="5">+C14+C15</f>
        <v>429894.43999999994</v>
      </c>
      <c r="D13" s="3">
        <f t="shared" si="5"/>
        <v>532732.07999999996</v>
      </c>
      <c r="E13" s="3">
        <f t="shared" si="5"/>
        <v>490361.63</v>
      </c>
      <c r="F13" s="3">
        <f t="shared" si="5"/>
        <v>603049.76</v>
      </c>
      <c r="G13" s="3">
        <f t="shared" si="5"/>
        <v>609472.84000000008</v>
      </c>
      <c r="H13" s="3">
        <f t="shared" si="5"/>
        <v>1386512.08</v>
      </c>
      <c r="I13" s="3">
        <f t="shared" si="5"/>
        <v>998711.53</v>
      </c>
      <c r="J13" s="3">
        <f t="shared" si="5"/>
        <v>852359.48</v>
      </c>
      <c r="K13" s="3">
        <f t="shared" si="5"/>
        <v>889689.46</v>
      </c>
      <c r="L13" s="3">
        <f t="shared" si="5"/>
        <v>703819.91999999993</v>
      </c>
      <c r="M13" s="3">
        <f t="shared" si="5"/>
        <v>647401.4</v>
      </c>
      <c r="N13" s="3">
        <f t="shared" si="5"/>
        <v>8789160.5599999987</v>
      </c>
      <c r="O13" s="3">
        <f>+O12+O15</f>
        <v>8432746.5700000003</v>
      </c>
      <c r="P13" s="3">
        <f>+P12+P15</f>
        <v>8432746.5700000003</v>
      </c>
      <c r="Q13" s="3">
        <f>+N13-P13</f>
        <v>356413.98999999836</v>
      </c>
      <c r="R13" s="4">
        <f t="shared" si="4"/>
        <v>0.99655752491089011</v>
      </c>
    </row>
    <row r="14" spans="1:18" x14ac:dyDescent="0.25">
      <c r="A14" s="72" t="s">
        <v>151</v>
      </c>
      <c r="B14" s="14">
        <v>609801.66</v>
      </c>
      <c r="C14" s="14">
        <v>398978.63</v>
      </c>
      <c r="D14" s="14">
        <v>508431.51</v>
      </c>
      <c r="E14" s="14">
        <v>470990.73</v>
      </c>
      <c r="F14" s="14">
        <v>590871.94999999995</v>
      </c>
      <c r="G14" s="14">
        <v>587787.01</v>
      </c>
      <c r="H14" s="14">
        <v>1315394.8400000001</v>
      </c>
      <c r="I14" s="14">
        <v>949822.67</v>
      </c>
      <c r="J14" s="14">
        <v>826237.43</v>
      </c>
      <c r="K14" s="14">
        <v>847623.87</v>
      </c>
      <c r="L14" s="14">
        <v>675981.34</v>
      </c>
      <c r="M14" s="14">
        <v>621795.41</v>
      </c>
      <c r="N14" s="3">
        <f t="shared" ref="N14:N19" si="6">SUM(B14:M14)</f>
        <v>8403717.0499999989</v>
      </c>
      <c r="O14" s="3"/>
      <c r="P14" s="3"/>
      <c r="Q14" s="3"/>
      <c r="R14" s="4"/>
    </row>
    <row r="15" spans="1:18" x14ac:dyDescent="0.25">
      <c r="A15" s="72" t="s">
        <v>19</v>
      </c>
      <c r="B15" s="14">
        <f>645162.86-B12-B19</f>
        <v>35354.279999999955</v>
      </c>
      <c r="C15" s="14">
        <f>429903.91-C12-C19</f>
        <v>30915.809999999969</v>
      </c>
      <c r="D15" s="14">
        <f>532759.37-D12-D19</f>
        <v>24300.569999999985</v>
      </c>
      <c r="E15" s="14">
        <f>490371.54-E12-E19</f>
        <v>19370.899999999998</v>
      </c>
      <c r="F15" s="14">
        <f>1601442.28-F12-F19</f>
        <v>12177.810000000056</v>
      </c>
      <c r="G15" s="14">
        <f>1255420.56-G12-G19</f>
        <v>21685.830000000075</v>
      </c>
      <c r="H15" s="14">
        <f>1386570.5-H12-H19</f>
        <v>71117.239999999918</v>
      </c>
      <c r="I15" s="14">
        <f>998713.64-I12-I19</f>
        <v>48888.859999999971</v>
      </c>
      <c r="J15" s="14">
        <f>852375.16-J12-J19</f>
        <v>26122.049999999981</v>
      </c>
      <c r="K15" s="14">
        <f>889599.57-K12-K19</f>
        <v>42065.589999999953</v>
      </c>
      <c r="L15" s="14">
        <v>27838.58</v>
      </c>
      <c r="M15" s="14">
        <v>25605.99</v>
      </c>
      <c r="N15" s="3">
        <f t="shared" si="6"/>
        <v>385443.50999999989</v>
      </c>
      <c r="O15" s="14"/>
      <c r="P15" s="3">
        <f t="shared" si="3"/>
        <v>0</v>
      </c>
      <c r="Q15" s="3">
        <f t="shared" ref="Q15:Q19" si="7">+N15-P15</f>
        <v>385443.50999999989</v>
      </c>
      <c r="R15" s="4" t="e">
        <f>+N15/O15</f>
        <v>#DIV/0!</v>
      </c>
    </row>
    <row r="16" spans="1:18" x14ac:dyDescent="0.25">
      <c r="A16" s="73" t="s">
        <v>110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">
        <f t="shared" si="6"/>
        <v>0</v>
      </c>
      <c r="O16" s="3"/>
      <c r="P16" s="3"/>
      <c r="Q16" s="3"/>
      <c r="R16" s="4"/>
    </row>
    <row r="17" spans="1:18" x14ac:dyDescent="0.25">
      <c r="A17" s="73" t="s">
        <v>111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">
        <f t="shared" si="6"/>
        <v>0</v>
      </c>
      <c r="O17" s="3"/>
      <c r="P17" s="3"/>
      <c r="Q17" s="3"/>
      <c r="R17" s="4"/>
    </row>
    <row r="18" spans="1:18" x14ac:dyDescent="0.25">
      <c r="A18" s="73" t="s">
        <v>152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3">
        <f t="shared" si="6"/>
        <v>0</v>
      </c>
      <c r="O18" s="3"/>
      <c r="P18" s="3"/>
      <c r="Q18" s="3"/>
      <c r="R18" s="4"/>
    </row>
    <row r="19" spans="1:18" x14ac:dyDescent="0.25">
      <c r="A19" s="74" t="s">
        <v>146</v>
      </c>
      <c r="B19" s="14">
        <v>6.92</v>
      </c>
      <c r="C19" s="14">
        <v>9.4700000000000006</v>
      </c>
      <c r="D19" s="14">
        <v>27.29</v>
      </c>
      <c r="E19" s="14">
        <v>9.91</v>
      </c>
      <c r="F19" s="14">
        <f>998400-7.48</f>
        <v>998392.52</v>
      </c>
      <c r="G19" s="14">
        <f>15.72+645932</f>
        <v>645947.72</v>
      </c>
      <c r="H19" s="14">
        <f>0+58.42</f>
        <v>58.42</v>
      </c>
      <c r="I19" s="14">
        <f>0+2.11</f>
        <v>2.11</v>
      </c>
      <c r="J19" s="14">
        <v>15.68</v>
      </c>
      <c r="K19" s="14">
        <f>-89.89</f>
        <v>-89.89</v>
      </c>
      <c r="L19" s="14">
        <v>-37.68</v>
      </c>
      <c r="M19" s="14">
        <v>-26.21</v>
      </c>
      <c r="N19" s="3">
        <f t="shared" si="6"/>
        <v>1644316.2600000002</v>
      </c>
      <c r="O19" s="14"/>
      <c r="P19" s="3">
        <f t="shared" si="3"/>
        <v>0</v>
      </c>
      <c r="Q19" s="3">
        <f t="shared" si="7"/>
        <v>1644316.2600000002</v>
      </c>
      <c r="R19" s="4" t="e">
        <f>+N19/O19</f>
        <v>#DIV/0!</v>
      </c>
    </row>
    <row r="20" spans="1:18" x14ac:dyDescent="0.25">
      <c r="A20" s="7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0"/>
      <c r="R20" s="22">
        <f>COUNTA(B14:M14)</f>
        <v>12</v>
      </c>
    </row>
    <row r="21" spans="1:18" ht="15.75" x14ac:dyDescent="0.25">
      <c r="A21" s="75" t="s">
        <v>20</v>
      </c>
      <c r="B21" s="5">
        <f>+B22+B32+B33</f>
        <v>337251.8</v>
      </c>
      <c r="C21" s="5">
        <f t="shared" ref="C21:N21" si="8">+C22+C32+C33</f>
        <v>442112.59000000008</v>
      </c>
      <c r="D21" s="5">
        <f t="shared" si="8"/>
        <v>593269.93999999994</v>
      </c>
      <c r="E21" s="5">
        <f t="shared" si="8"/>
        <v>651105.90999999992</v>
      </c>
      <c r="F21" s="5">
        <f t="shared" si="8"/>
        <v>389703.16</v>
      </c>
      <c r="G21" s="5">
        <f t="shared" si="8"/>
        <v>571173.7699999999</v>
      </c>
      <c r="H21" s="5">
        <f t="shared" si="8"/>
        <v>593693.58000000007</v>
      </c>
      <c r="I21" s="5">
        <f t="shared" si="8"/>
        <v>551652.43000000005</v>
      </c>
      <c r="J21" s="5">
        <f t="shared" si="8"/>
        <v>448420.92</v>
      </c>
      <c r="K21" s="5">
        <f t="shared" si="8"/>
        <v>630386.81000000006</v>
      </c>
      <c r="L21" s="5">
        <f t="shared" si="8"/>
        <v>585005.67999999993</v>
      </c>
      <c r="M21" s="5">
        <f t="shared" si="8"/>
        <v>454116.20999999996</v>
      </c>
      <c r="N21" s="5">
        <f t="shared" si="8"/>
        <v>6247892.8000000007</v>
      </c>
      <c r="O21" s="5">
        <f>+O22+O32+O33</f>
        <v>7909453.2400000002</v>
      </c>
      <c r="P21" s="5">
        <f>+P22+P32+P33</f>
        <v>7909453.2400000002</v>
      </c>
      <c r="Q21" s="5">
        <f t="shared" ref="Q21:Q30" si="9">+N21-P21</f>
        <v>-1661560.4399999995</v>
      </c>
      <c r="R21" s="2">
        <f>+N21/O21</f>
        <v>0.78992726935951907</v>
      </c>
    </row>
    <row r="22" spans="1:18" x14ac:dyDescent="0.25">
      <c r="A22" s="70" t="s">
        <v>155</v>
      </c>
      <c r="B22" s="6">
        <f>+B23+B24+B25+B29+B30</f>
        <v>337251.8</v>
      </c>
      <c r="C22" s="6">
        <f t="shared" ref="C22:N22" si="10">+C23+C24+C25+C29+C30</f>
        <v>442112.59000000008</v>
      </c>
      <c r="D22" s="6">
        <f t="shared" si="10"/>
        <v>593269.93999999994</v>
      </c>
      <c r="E22" s="6">
        <f t="shared" si="10"/>
        <v>651105.90999999992</v>
      </c>
      <c r="F22" s="6">
        <f t="shared" si="10"/>
        <v>389703.16</v>
      </c>
      <c r="G22" s="6">
        <f t="shared" si="10"/>
        <v>571173.7699999999</v>
      </c>
      <c r="H22" s="6">
        <f t="shared" si="10"/>
        <v>593693.58000000007</v>
      </c>
      <c r="I22" s="6">
        <f t="shared" si="10"/>
        <v>551652.43000000005</v>
      </c>
      <c r="J22" s="6">
        <f t="shared" si="10"/>
        <v>448420.92</v>
      </c>
      <c r="K22" s="6">
        <f t="shared" si="10"/>
        <v>630386.81000000006</v>
      </c>
      <c r="L22" s="6">
        <f t="shared" si="10"/>
        <v>585005.67999999993</v>
      </c>
      <c r="M22" s="6">
        <f t="shared" si="10"/>
        <v>454116.20999999996</v>
      </c>
      <c r="N22" s="6">
        <f t="shared" si="10"/>
        <v>6247892.8000000007</v>
      </c>
      <c r="O22" s="6">
        <f>+O23+O24+O25+O29+O30</f>
        <v>7909453.2400000002</v>
      </c>
      <c r="P22" s="6">
        <f>+P23+P24+P25+P29+P30</f>
        <v>7909453.2400000002</v>
      </c>
      <c r="Q22" s="6">
        <f t="shared" si="9"/>
        <v>-1661560.4399999995</v>
      </c>
      <c r="R22" s="4">
        <f>+N21/O21</f>
        <v>0.78992726935951907</v>
      </c>
    </row>
    <row r="23" spans="1:18" x14ac:dyDescent="0.25">
      <c r="A23" s="71" t="s">
        <v>21</v>
      </c>
      <c r="B23" s="14">
        <v>120467.28</v>
      </c>
      <c r="C23" s="14">
        <v>120467.28</v>
      </c>
      <c r="D23" s="14">
        <v>267033.21000000002</v>
      </c>
      <c r="E23" s="14">
        <v>292672.44</v>
      </c>
      <c r="F23" s="14">
        <v>129201.32</v>
      </c>
      <c r="G23" s="14">
        <v>161501.65</v>
      </c>
      <c r="H23" s="14">
        <v>129201.32</v>
      </c>
      <c r="I23" s="14">
        <v>182243.4</v>
      </c>
      <c r="J23" s="14">
        <v>129201.32</v>
      </c>
      <c r="K23" s="14">
        <v>129201.32</v>
      </c>
      <c r="L23" s="14">
        <v>315446.03000000003</v>
      </c>
      <c r="M23" s="14">
        <v>164567.28</v>
      </c>
      <c r="N23" s="15">
        <f>SUM(B23:M23)</f>
        <v>2141203.85</v>
      </c>
      <c r="O23" s="14">
        <v>7909453.2400000002</v>
      </c>
      <c r="P23" s="3">
        <f>+O23/12*$R$20</f>
        <v>7909453.2400000002</v>
      </c>
      <c r="Q23" s="3">
        <f t="shared" si="9"/>
        <v>-5768249.3900000006</v>
      </c>
      <c r="R23" s="4">
        <f t="shared" ref="R23:R34" si="11">+N22/O22</f>
        <v>0.78992726935951907</v>
      </c>
    </row>
    <row r="24" spans="1:18" x14ac:dyDescent="0.25">
      <c r="A24" s="73" t="s">
        <v>22</v>
      </c>
      <c r="B24" s="14">
        <v>36134.89</v>
      </c>
      <c r="C24" s="14">
        <v>102541.42</v>
      </c>
      <c r="D24" s="14">
        <v>42939.5</v>
      </c>
      <c r="E24" s="14">
        <v>27187.93</v>
      </c>
      <c r="F24" s="14">
        <v>70591.850000000006</v>
      </c>
      <c r="G24" s="14">
        <v>116194.79</v>
      </c>
      <c r="H24" s="14">
        <v>75735.66</v>
      </c>
      <c r="I24" s="14">
        <v>85525.63</v>
      </c>
      <c r="J24" s="14">
        <v>64850.35</v>
      </c>
      <c r="K24" s="14">
        <v>131971.66</v>
      </c>
      <c r="L24" s="14">
        <v>26938.720000000001</v>
      </c>
      <c r="M24" s="14">
        <v>76888.39</v>
      </c>
      <c r="N24" s="15">
        <f>SUM(B24:M24)</f>
        <v>857500.78999999992</v>
      </c>
      <c r="O24" s="14"/>
      <c r="P24" s="3">
        <f>+O24/12*$R$20</f>
        <v>0</v>
      </c>
      <c r="Q24" s="3">
        <f t="shared" si="9"/>
        <v>857500.78999999992</v>
      </c>
      <c r="R24" s="4">
        <f t="shared" si="11"/>
        <v>0.27071452160200143</v>
      </c>
    </row>
    <row r="25" spans="1:18" x14ac:dyDescent="0.25">
      <c r="A25" s="73" t="s">
        <v>75</v>
      </c>
      <c r="B25" s="3">
        <f>+B26+B28</f>
        <v>24795.7</v>
      </c>
      <c r="C25" s="3">
        <f t="shared" ref="C25:N25" si="12">+C26+C28</f>
        <v>186846.09</v>
      </c>
      <c r="D25" s="3">
        <f t="shared" si="12"/>
        <v>261801.56</v>
      </c>
      <c r="E25" s="3">
        <f t="shared" si="12"/>
        <v>186592.46</v>
      </c>
      <c r="F25" s="3">
        <f t="shared" si="12"/>
        <v>165390.92000000001</v>
      </c>
      <c r="G25" s="3">
        <f t="shared" si="12"/>
        <v>263325.21999999997</v>
      </c>
      <c r="H25" s="3">
        <f t="shared" si="12"/>
        <v>210818.16</v>
      </c>
      <c r="I25" s="3">
        <f t="shared" si="12"/>
        <v>214547.38</v>
      </c>
      <c r="J25" s="3">
        <f t="shared" si="12"/>
        <v>204433.57</v>
      </c>
      <c r="K25" s="3">
        <f t="shared" si="12"/>
        <v>203926.39</v>
      </c>
      <c r="L25" s="3">
        <f t="shared" si="12"/>
        <v>198140.95</v>
      </c>
      <c r="M25" s="3">
        <f t="shared" si="12"/>
        <v>177471.43</v>
      </c>
      <c r="N25" s="3">
        <f t="shared" si="12"/>
        <v>2298089.83</v>
      </c>
      <c r="O25" s="3">
        <f>+O26+O28</f>
        <v>0</v>
      </c>
      <c r="P25" s="3">
        <f>+P26+P28</f>
        <v>0</v>
      </c>
      <c r="Q25" s="3">
        <f>+N25-P25</f>
        <v>2298089.83</v>
      </c>
      <c r="R25" s="4" t="e">
        <f t="shared" si="11"/>
        <v>#DIV/0!</v>
      </c>
    </row>
    <row r="26" spans="1:18" x14ac:dyDescent="0.25">
      <c r="A26" s="72" t="s">
        <v>153</v>
      </c>
      <c r="B26" s="14">
        <v>0</v>
      </c>
      <c r="C26" s="14">
        <v>128645.75</v>
      </c>
      <c r="D26" s="14">
        <v>201606.48</v>
      </c>
      <c r="E26" s="14">
        <v>132773.51</v>
      </c>
      <c r="F26" s="14">
        <v>132084</v>
      </c>
      <c r="G26" s="14">
        <v>192399.34</v>
      </c>
      <c r="H26" s="14">
        <v>146589.69</v>
      </c>
      <c r="I26" s="14">
        <v>143620.57</v>
      </c>
      <c r="J26" s="14">
        <f>140950.44</f>
        <v>140950.44</v>
      </c>
      <c r="K26" s="14">
        <v>143968.97</v>
      </c>
      <c r="L26" s="14">
        <v>134851.78</v>
      </c>
      <c r="M26" s="14">
        <v>121551.67</v>
      </c>
      <c r="N26" s="15">
        <f>SUM(B26:M26)</f>
        <v>1619042.2</v>
      </c>
      <c r="O26" s="14"/>
      <c r="P26" s="3">
        <f>+O26/12*$R$20</f>
        <v>0</v>
      </c>
      <c r="Q26" s="3">
        <f t="shared" si="9"/>
        <v>1619042.2</v>
      </c>
      <c r="R26" s="4" t="e">
        <f t="shared" si="11"/>
        <v>#DIV/0!</v>
      </c>
    </row>
    <row r="27" spans="1:18" x14ac:dyDescent="0.25">
      <c r="A27" s="72" t="s">
        <v>154</v>
      </c>
      <c r="B27" s="14">
        <v>0</v>
      </c>
      <c r="C27" s="14">
        <f>128645.75-2684</f>
        <v>125961.75</v>
      </c>
      <c r="D27" s="14">
        <f>201606.48-4336</f>
        <v>197270.48</v>
      </c>
      <c r="E27" s="14">
        <f>132773.51-901</f>
        <v>131872.51</v>
      </c>
      <c r="F27" s="14">
        <f>132084-901</f>
        <v>131183</v>
      </c>
      <c r="G27" s="14">
        <f>192399.34-1711</f>
        <v>190688.34</v>
      </c>
      <c r="H27" s="14">
        <f>H26-2656</f>
        <v>143933.69</v>
      </c>
      <c r="I27" s="14">
        <f>I26-2456</f>
        <v>141164.57</v>
      </c>
      <c r="J27" s="14">
        <f>140950.44-1950</f>
        <v>139000.44</v>
      </c>
      <c r="K27" s="14">
        <f>K26-1269</f>
        <v>142699.97</v>
      </c>
      <c r="L27" s="14">
        <v>133901.38</v>
      </c>
      <c r="M27" s="14">
        <v>120092.79</v>
      </c>
      <c r="N27" s="15">
        <f>SUM(B27:M27)</f>
        <v>1597768.92</v>
      </c>
      <c r="O27" s="7"/>
      <c r="P27" s="3"/>
      <c r="Q27" s="3"/>
      <c r="R27" s="4"/>
    </row>
    <row r="28" spans="1:18" x14ac:dyDescent="0.25">
      <c r="A28" s="72" t="s">
        <v>74</v>
      </c>
      <c r="B28" s="14">
        <f>24795.7-B26</f>
        <v>24795.7</v>
      </c>
      <c r="C28" s="14">
        <f>186846.09-C26</f>
        <v>58200.34</v>
      </c>
      <c r="D28" s="14">
        <f>261801.56-D26</f>
        <v>60195.079999999987</v>
      </c>
      <c r="E28" s="14">
        <f>186592.46-E26</f>
        <v>53818.949999999983</v>
      </c>
      <c r="F28" s="14">
        <f>165390.92-F26</f>
        <v>33306.920000000013</v>
      </c>
      <c r="G28" s="14">
        <f>263325.22-G26</f>
        <v>70925.879999999976</v>
      </c>
      <c r="H28" s="14">
        <f>210818.16-H26</f>
        <v>64228.47</v>
      </c>
      <c r="I28" s="14">
        <f>214547.38-I26</f>
        <v>70926.81</v>
      </c>
      <c r="J28" s="14">
        <f>204433.57-J26</f>
        <v>63483.130000000005</v>
      </c>
      <c r="K28" s="14">
        <f>203926.39-K26</f>
        <v>59957.420000000013</v>
      </c>
      <c r="L28" s="14">
        <v>63289.17</v>
      </c>
      <c r="M28" s="14">
        <v>55919.76</v>
      </c>
      <c r="N28" s="15">
        <f>SUM(B28:M28)</f>
        <v>679047.63</v>
      </c>
      <c r="O28" s="14"/>
      <c r="P28" s="3">
        <f>+O28/12*$R$20</f>
        <v>0</v>
      </c>
      <c r="Q28" s="3">
        <f t="shared" si="9"/>
        <v>679047.63</v>
      </c>
      <c r="R28" s="4" t="e">
        <f>+N26/O26</f>
        <v>#DIV/0!</v>
      </c>
    </row>
    <row r="29" spans="1:18" x14ac:dyDescent="0.25">
      <c r="A29" s="73" t="s">
        <v>147</v>
      </c>
      <c r="B29" s="14">
        <v>158027</v>
      </c>
      <c r="C29" s="14">
        <v>32257.8</v>
      </c>
      <c r="D29" s="14">
        <v>21495.67</v>
      </c>
      <c r="E29" s="14">
        <v>144653.07999999999</v>
      </c>
      <c r="F29" s="14">
        <v>24519.07</v>
      </c>
      <c r="G29" s="14">
        <v>30152.11</v>
      </c>
      <c r="H29" s="14">
        <v>177938.45</v>
      </c>
      <c r="I29" s="14">
        <v>69328.52</v>
      </c>
      <c r="J29" s="14">
        <v>49935.68</v>
      </c>
      <c r="K29" s="14">
        <v>165287.44</v>
      </c>
      <c r="L29" s="14">
        <v>44479.98</v>
      </c>
      <c r="M29" s="14">
        <v>35189.11</v>
      </c>
      <c r="N29" s="15">
        <f>SUM(B29:M29)</f>
        <v>953263.91</v>
      </c>
      <c r="O29" s="14"/>
      <c r="P29" s="3">
        <f>+O29/12*$R$20</f>
        <v>0</v>
      </c>
      <c r="Q29" s="3">
        <f t="shared" si="9"/>
        <v>953263.91</v>
      </c>
      <c r="R29" s="4" t="e">
        <f t="shared" si="11"/>
        <v>#DIV/0!</v>
      </c>
    </row>
    <row r="30" spans="1:18" x14ac:dyDescent="0.25">
      <c r="A30" s="73" t="s">
        <v>107</v>
      </c>
      <c r="B30" s="14">
        <f>337251.8-B23-B24-B25-B29</f>
        <v>-2173.070000000007</v>
      </c>
      <c r="C30" s="14">
        <f>442112.59-C23-C24-C25-C29</f>
        <v>7.6397554948925972E-11</v>
      </c>
      <c r="D30" s="14">
        <f>593269.94-D23-D24-D25-D29</f>
        <v>-7.2759576141834259E-11</v>
      </c>
      <c r="E30" s="14">
        <f>651105.91-E23-E24-E25-E29</f>
        <v>0</v>
      </c>
      <c r="F30" s="14">
        <f>389703.16-F23-F24-F25-F29</f>
        <v>-5.0931703299283981E-11</v>
      </c>
      <c r="G30" s="14">
        <f>571173.77-G23-G24-G25-G29</f>
        <v>4.3655745685100555E-11</v>
      </c>
      <c r="H30" s="14">
        <f>593693.58-H23-H24-H25-H29</f>
        <v>-1.0000000038417056E-2</v>
      </c>
      <c r="I30" s="14">
        <f>551652.43-I23-I24-I25-I29</f>
        <v>7.5000000000145519</v>
      </c>
      <c r="J30" s="14">
        <f>448420.92-J23-J24-J25-J29</f>
        <v>0</v>
      </c>
      <c r="K30" s="14">
        <f>630386.81-K23-K24-K25-K29</f>
        <v>0</v>
      </c>
      <c r="L30" s="14">
        <v>0</v>
      </c>
      <c r="M30" s="14"/>
      <c r="N30" s="15">
        <f>SUM(B30:M30)</f>
        <v>-2165.5800000000345</v>
      </c>
      <c r="O30" s="14"/>
      <c r="P30" s="3">
        <f>+O30/12*$R$20</f>
        <v>0</v>
      </c>
      <c r="Q30" s="3">
        <f t="shared" si="9"/>
        <v>-2165.5800000000345</v>
      </c>
      <c r="R30" s="4" t="e">
        <f t="shared" si="11"/>
        <v>#DIV/0!</v>
      </c>
    </row>
    <row r="31" spans="1:18" x14ac:dyDescent="0.25">
      <c r="A31" s="76" t="s">
        <v>23</v>
      </c>
      <c r="B31" s="5">
        <f>+B10-B22</f>
        <v>307911.06</v>
      </c>
      <c r="C31" s="5">
        <f t="shared" ref="C31:N31" si="13">+C10-C22</f>
        <v>-12208.680000000168</v>
      </c>
      <c r="D31" s="5">
        <f t="shared" si="13"/>
        <v>-60510.569999999949</v>
      </c>
      <c r="E31" s="5">
        <f t="shared" si="13"/>
        <v>-160734.36999999994</v>
      </c>
      <c r="F31" s="5">
        <f t="shared" si="13"/>
        <v>1211739.1200000001</v>
      </c>
      <c r="G31" s="5">
        <f t="shared" si="13"/>
        <v>684246.79000000015</v>
      </c>
      <c r="H31" s="5">
        <f t="shared" si="13"/>
        <v>792876.91999999993</v>
      </c>
      <c r="I31" s="5">
        <f t="shared" si="13"/>
        <v>447061.20999999996</v>
      </c>
      <c r="J31" s="5">
        <f t="shared" si="13"/>
        <v>403954.24000000005</v>
      </c>
      <c r="K31" s="5">
        <f t="shared" si="13"/>
        <v>259212.75999999989</v>
      </c>
      <c r="L31" s="5">
        <f t="shared" si="13"/>
        <v>118776.55999999994</v>
      </c>
      <c r="M31" s="5">
        <f t="shared" si="13"/>
        <v>193258.9800000001</v>
      </c>
      <c r="N31" s="5">
        <f t="shared" si="13"/>
        <v>4185584.0199999977</v>
      </c>
      <c r="O31" s="5">
        <f>+O10-O22</f>
        <v>523293.33000000007</v>
      </c>
      <c r="P31" s="5">
        <f>+P10-P22</f>
        <v>523293.33000000007</v>
      </c>
      <c r="Q31" s="5">
        <f>+N31-P31</f>
        <v>3662290.6899999976</v>
      </c>
      <c r="R31" s="2">
        <f>+N31/O31</f>
        <v>7.9985426529323371</v>
      </c>
    </row>
    <row r="32" spans="1:18" x14ac:dyDescent="0.25">
      <c r="A32" s="74" t="s">
        <v>24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/>
      <c r="N32" s="3">
        <f>SUM(B32:M32)</f>
        <v>0</v>
      </c>
      <c r="O32" s="14"/>
      <c r="P32" s="3">
        <f>+O32/12*$R$20</f>
        <v>0</v>
      </c>
      <c r="Q32" s="3">
        <f>+N32-P32</f>
        <v>0</v>
      </c>
      <c r="R32" s="4">
        <f t="shared" si="11"/>
        <v>7.9985426529323371</v>
      </c>
    </row>
    <row r="33" spans="1:18" x14ac:dyDescent="0.25">
      <c r="A33" s="74" t="s">
        <v>25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/>
      <c r="N33" s="3">
        <f>SUM(B33:M33)</f>
        <v>0</v>
      </c>
      <c r="O33" s="14"/>
      <c r="P33" s="3">
        <f>+O33/12*$R$20</f>
        <v>0</v>
      </c>
      <c r="Q33" s="3">
        <f>+N33-P33</f>
        <v>0</v>
      </c>
      <c r="R33" s="4" t="e">
        <f t="shared" si="11"/>
        <v>#DIV/0!</v>
      </c>
    </row>
    <row r="34" spans="1:18" x14ac:dyDescent="0.25">
      <c r="A34" s="76" t="s">
        <v>76</v>
      </c>
      <c r="B34" s="5">
        <f>+B31-B32-B33</f>
        <v>307911.06</v>
      </c>
      <c r="C34" s="5">
        <f t="shared" ref="C34:N34" si="14">+C31-C32-C33</f>
        <v>-12208.680000000168</v>
      </c>
      <c r="D34" s="5">
        <f t="shared" si="14"/>
        <v>-60510.569999999949</v>
      </c>
      <c r="E34" s="5">
        <f t="shared" si="14"/>
        <v>-160734.36999999994</v>
      </c>
      <c r="F34" s="5">
        <f t="shared" si="14"/>
        <v>1211739.1200000001</v>
      </c>
      <c r="G34" s="5">
        <f t="shared" si="14"/>
        <v>684246.79000000015</v>
      </c>
      <c r="H34" s="5">
        <f t="shared" si="14"/>
        <v>792876.91999999993</v>
      </c>
      <c r="I34" s="5">
        <f t="shared" si="14"/>
        <v>447061.20999999996</v>
      </c>
      <c r="J34" s="5">
        <f t="shared" si="14"/>
        <v>403954.24000000005</v>
      </c>
      <c r="K34" s="5">
        <f t="shared" si="14"/>
        <v>259212.75999999989</v>
      </c>
      <c r="L34" s="5">
        <f t="shared" si="14"/>
        <v>118776.55999999994</v>
      </c>
      <c r="M34" s="5">
        <f t="shared" si="14"/>
        <v>193258.9800000001</v>
      </c>
      <c r="N34" s="5">
        <f t="shared" si="14"/>
        <v>4185584.0199999977</v>
      </c>
      <c r="O34" s="5">
        <f>+O31-O32-O33</f>
        <v>523293.33000000007</v>
      </c>
      <c r="P34" s="5">
        <f t="shared" ref="P34" si="15">+P31-P32-P33</f>
        <v>523293.33000000007</v>
      </c>
      <c r="Q34" s="5">
        <f>+N34-P34</f>
        <v>3662290.6899999976</v>
      </c>
      <c r="R34" s="2" t="e">
        <f t="shared" si="11"/>
        <v>#DIV/0!</v>
      </c>
    </row>
    <row r="35" spans="1:18" s="45" customFormat="1" x14ac:dyDescent="0.25">
      <c r="A35" s="77" t="s">
        <v>26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/>
      <c r="I35" s="44"/>
      <c r="J35" s="44"/>
      <c r="K35" s="44"/>
      <c r="L35" s="44"/>
      <c r="M35" s="44"/>
      <c r="N35" s="44">
        <f>SUM(B35:M35)</f>
        <v>0</v>
      </c>
      <c r="O35" s="44"/>
      <c r="P35" s="23"/>
      <c r="Q35" s="23"/>
      <c r="R35" s="24"/>
    </row>
    <row r="36" spans="1:18" x14ac:dyDescent="0.25">
      <c r="A36" s="7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92"/>
    </row>
    <row r="37" spans="1:18" ht="15.75" x14ac:dyDescent="0.25">
      <c r="A37" s="69" t="s">
        <v>106</v>
      </c>
      <c r="B37" s="93">
        <v>2490246.52</v>
      </c>
      <c r="C37" s="93">
        <v>2548295.96</v>
      </c>
      <c r="D37" s="93">
        <v>2486554.73</v>
      </c>
      <c r="E37" s="103">
        <v>1374858.82</v>
      </c>
      <c r="F37" s="93">
        <v>1385133.25</v>
      </c>
      <c r="G37" s="93">
        <v>2045201.99</v>
      </c>
      <c r="H37" s="93">
        <v>2674785.04</v>
      </c>
      <c r="I37" s="103">
        <v>3242640.94</v>
      </c>
      <c r="J37" s="93">
        <v>3622777.94</v>
      </c>
      <c r="K37" s="93">
        <v>3578550.29</v>
      </c>
      <c r="L37" s="93">
        <v>3116268.9</v>
      </c>
      <c r="M37" s="93">
        <v>3265973.51</v>
      </c>
      <c r="N37" s="94"/>
      <c r="O37" s="95"/>
      <c r="P37" s="95"/>
      <c r="Q37" s="95"/>
      <c r="R37" s="96"/>
    </row>
    <row r="38" spans="1:18" ht="15.75" x14ac:dyDescent="0.25">
      <c r="A38" s="75" t="s">
        <v>108</v>
      </c>
      <c r="B38" s="14">
        <v>109637.33</v>
      </c>
      <c r="C38" s="14">
        <v>0</v>
      </c>
      <c r="D38" s="14">
        <v>0</v>
      </c>
      <c r="E38" s="14">
        <v>177246.28</v>
      </c>
      <c r="F38" s="14">
        <v>0</v>
      </c>
      <c r="G38" s="14">
        <v>0</v>
      </c>
      <c r="H38" s="14">
        <v>210817.73</v>
      </c>
      <c r="I38" s="14">
        <v>0</v>
      </c>
      <c r="J38" s="14">
        <v>0</v>
      </c>
      <c r="K38" s="14">
        <v>122669.21</v>
      </c>
      <c r="L38" s="14">
        <v>0</v>
      </c>
      <c r="M38" s="14"/>
      <c r="N38" s="3">
        <f>SUM(B38:M38)</f>
        <v>620370.54999999993</v>
      </c>
      <c r="O38" s="14"/>
      <c r="P38" s="3">
        <f>+O38/12*$R$20</f>
        <v>0</v>
      </c>
      <c r="Q38" s="3">
        <f t="shared" ref="Q38:Q39" si="16">+N38-P38</f>
        <v>620370.54999999993</v>
      </c>
      <c r="R38" s="4" t="e">
        <f t="shared" ref="R38:R39" si="17">+N37/O37</f>
        <v>#DIV/0!</v>
      </c>
    </row>
    <row r="39" spans="1:18" ht="15.75" x14ac:dyDescent="0.25">
      <c r="A39" s="97" t="s">
        <v>109</v>
      </c>
      <c r="B39" s="98">
        <v>48389.67</v>
      </c>
      <c r="C39" s="98">
        <v>32257.8</v>
      </c>
      <c r="D39" s="98">
        <v>21495.67</v>
      </c>
      <c r="E39" s="98">
        <v>24519.07</v>
      </c>
      <c r="F39" s="98">
        <v>30152.11</v>
      </c>
      <c r="G39" s="98">
        <v>30474.43</v>
      </c>
      <c r="H39" s="98">
        <v>83889.58</v>
      </c>
      <c r="I39" s="98">
        <v>49935.68</v>
      </c>
      <c r="J39" s="98">
        <v>42618.23</v>
      </c>
      <c r="K39" s="98">
        <v>44479.98</v>
      </c>
      <c r="L39" s="98">
        <v>35189.11</v>
      </c>
      <c r="M39" s="98">
        <v>32368.76</v>
      </c>
      <c r="N39" s="99">
        <f>SUM(B39:M39)</f>
        <v>475770.08999999997</v>
      </c>
      <c r="O39" s="98"/>
      <c r="P39" s="99">
        <f>+O39/12*$R$20</f>
        <v>0</v>
      </c>
      <c r="Q39" s="99">
        <f t="shared" si="16"/>
        <v>475770.08999999997</v>
      </c>
      <c r="R39" s="100" t="e">
        <f t="shared" si="17"/>
        <v>#DIV/0!</v>
      </c>
    </row>
    <row r="40" spans="1:18" x14ac:dyDescent="0.25">
      <c r="A40" s="7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101"/>
    </row>
    <row r="41" spans="1:18" ht="15.75" x14ac:dyDescent="0.25">
      <c r="A41" s="69" t="s">
        <v>27</v>
      </c>
      <c r="B41" s="1">
        <f>+B42+B43+B44</f>
        <v>69.012</v>
      </c>
      <c r="C41" s="1">
        <f t="shared" ref="C41:N41" si="18">+C42+C43+C44</f>
        <v>66.424000000000007</v>
      </c>
      <c r="D41" s="1">
        <f t="shared" si="18"/>
        <v>68.61</v>
      </c>
      <c r="E41" s="1">
        <f t="shared" si="18"/>
        <v>56.94</v>
      </c>
      <c r="F41" s="1">
        <f t="shared" si="18"/>
        <v>57.399900000000002</v>
      </c>
      <c r="G41" s="1">
        <f t="shared" si="18"/>
        <v>76.819999999999993</v>
      </c>
      <c r="H41" s="1">
        <f t="shared" si="18"/>
        <v>79.569999999999993</v>
      </c>
      <c r="I41" s="1">
        <f t="shared" si="18"/>
        <v>74.06</v>
      </c>
      <c r="J41" s="1">
        <f t="shared" si="18"/>
        <v>68.510000000000005</v>
      </c>
      <c r="K41" s="1">
        <f t="shared" si="18"/>
        <v>55.52</v>
      </c>
      <c r="L41" s="1">
        <f t="shared" si="18"/>
        <v>68</v>
      </c>
      <c r="M41" s="1">
        <f t="shared" si="18"/>
        <v>68</v>
      </c>
      <c r="N41" s="1">
        <f t="shared" si="18"/>
        <v>808.86590000000001</v>
      </c>
      <c r="O41" s="36"/>
      <c r="P41" s="36"/>
      <c r="Q41" s="36"/>
      <c r="R41" s="37"/>
    </row>
    <row r="42" spans="1:18" x14ac:dyDescent="0.25">
      <c r="A42" s="74" t="s">
        <v>28</v>
      </c>
      <c r="B42" s="14">
        <v>69.012</v>
      </c>
      <c r="C42" s="14">
        <v>66.424000000000007</v>
      </c>
      <c r="D42" s="14">
        <v>68.61</v>
      </c>
      <c r="E42" s="14">
        <v>56.94</v>
      </c>
      <c r="F42" s="14">
        <v>57.399900000000002</v>
      </c>
      <c r="G42" s="14">
        <v>76.819999999999993</v>
      </c>
      <c r="H42" s="14">
        <v>79.569999999999993</v>
      </c>
      <c r="I42" s="14">
        <v>74.06</v>
      </c>
      <c r="J42" s="14">
        <v>68.510000000000005</v>
      </c>
      <c r="K42" s="14">
        <v>55.52</v>
      </c>
      <c r="L42" s="14">
        <v>68</v>
      </c>
      <c r="M42" s="14">
        <v>68</v>
      </c>
      <c r="N42" s="3">
        <f>SUM(B42:M42)</f>
        <v>808.86590000000001</v>
      </c>
      <c r="O42" s="7"/>
      <c r="P42" s="7"/>
      <c r="Q42" s="7"/>
      <c r="R42" s="38"/>
    </row>
    <row r="43" spans="1:18" x14ac:dyDescent="0.25">
      <c r="A43" s="74" t="s">
        <v>29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/>
      <c r="N43" s="3">
        <f>SUM(B43:M43)</f>
        <v>0</v>
      </c>
      <c r="O43" s="7"/>
      <c r="P43" s="7"/>
      <c r="Q43" s="7"/>
      <c r="R43" s="38"/>
    </row>
    <row r="44" spans="1:18" x14ac:dyDescent="0.25">
      <c r="A44" s="74" t="s">
        <v>30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/>
      <c r="N44" s="3">
        <f>SUM(B44:M44)</f>
        <v>0</v>
      </c>
      <c r="O44" s="7"/>
      <c r="P44" s="7"/>
      <c r="Q44" s="7"/>
      <c r="R44" s="38"/>
    </row>
    <row r="45" spans="1:18" x14ac:dyDescent="0.25">
      <c r="A45" s="7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8"/>
    </row>
    <row r="46" spans="1:18" ht="15.75" x14ac:dyDescent="0.25">
      <c r="A46" s="69" t="s">
        <v>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</row>
    <row r="47" spans="1:18" x14ac:dyDescent="0.25">
      <c r="A47" t="s">
        <v>68</v>
      </c>
      <c r="B47" s="14">
        <v>7710</v>
      </c>
      <c r="C47" s="14">
        <v>7654</v>
      </c>
      <c r="D47" s="14">
        <v>8118</v>
      </c>
      <c r="E47" s="14">
        <v>7973</v>
      </c>
      <c r="F47" s="14">
        <v>8589</v>
      </c>
      <c r="G47" s="14">
        <v>8849</v>
      </c>
      <c r="H47" s="14">
        <v>9690</v>
      </c>
      <c r="I47" s="14">
        <v>8647</v>
      </c>
      <c r="J47" s="14">
        <v>9025</v>
      </c>
      <c r="K47" s="14">
        <v>8269</v>
      </c>
      <c r="L47" s="14">
        <v>7061</v>
      </c>
      <c r="M47" s="14">
        <v>7976</v>
      </c>
      <c r="N47" s="3">
        <f>SUM(B47:M47)</f>
        <v>99561</v>
      </c>
      <c r="O47" s="7"/>
      <c r="P47" s="7"/>
      <c r="Q47" s="7"/>
      <c r="R47" s="38"/>
    </row>
    <row r="48" spans="1:18" x14ac:dyDescent="0.25">
      <c r="A48" t="s">
        <v>69</v>
      </c>
      <c r="B48" s="14">
        <v>18081</v>
      </c>
      <c r="C48" s="14">
        <v>14098</v>
      </c>
      <c r="D48" s="14">
        <v>17191</v>
      </c>
      <c r="E48" s="14">
        <v>19961</v>
      </c>
      <c r="F48" s="14">
        <v>20830</v>
      </c>
      <c r="G48" s="14">
        <v>22593</v>
      </c>
      <c r="H48" s="14">
        <v>22979</v>
      </c>
      <c r="I48" s="14">
        <v>22366</v>
      </c>
      <c r="J48" s="14">
        <v>20710</v>
      </c>
      <c r="K48" s="14">
        <v>18578</v>
      </c>
      <c r="L48" s="14">
        <v>15662</v>
      </c>
      <c r="M48" s="14">
        <v>14724</v>
      </c>
      <c r="N48" s="3">
        <f>SUM(B48:M48)</f>
        <v>227773</v>
      </c>
      <c r="O48" s="7"/>
      <c r="P48" s="7"/>
      <c r="Q48" s="7"/>
      <c r="R48" s="38"/>
    </row>
    <row r="49" spans="1:18" x14ac:dyDescent="0.25">
      <c r="A49" t="s">
        <v>70</v>
      </c>
      <c r="B49" s="14">
        <v>3057</v>
      </c>
      <c r="C49" s="14">
        <v>3450</v>
      </c>
      <c r="D49" s="14">
        <v>4233</v>
      </c>
      <c r="E49" s="14">
        <v>2038</v>
      </c>
      <c r="F49" s="14">
        <v>2634</v>
      </c>
      <c r="G49" s="14">
        <v>2659</v>
      </c>
      <c r="H49" s="14">
        <v>2538</v>
      </c>
      <c r="I49" s="14">
        <v>2154</v>
      </c>
      <c r="J49" s="14">
        <v>2574</v>
      </c>
      <c r="K49" s="14">
        <v>2359</v>
      </c>
      <c r="L49" s="14">
        <v>3566</v>
      </c>
      <c r="M49" s="14">
        <v>3556</v>
      </c>
      <c r="N49" s="3">
        <f>SUM(B49:M49)</f>
        <v>34818</v>
      </c>
      <c r="O49" s="7"/>
      <c r="P49" s="7"/>
      <c r="Q49" s="7"/>
      <c r="R49" s="38"/>
    </row>
    <row r="50" spans="1:18" x14ac:dyDescent="0.25">
      <c r="A50" s="80" t="s">
        <v>71</v>
      </c>
      <c r="B50" s="3">
        <f>SUM(B47:B49)</f>
        <v>28848</v>
      </c>
      <c r="C50" s="3">
        <f t="shared" ref="C50:M50" si="19">SUM(C47:C49)</f>
        <v>25202</v>
      </c>
      <c r="D50" s="3">
        <f t="shared" si="19"/>
        <v>29542</v>
      </c>
      <c r="E50" s="3">
        <f t="shared" si="19"/>
        <v>29972</v>
      </c>
      <c r="F50" s="3">
        <f t="shared" si="19"/>
        <v>32053</v>
      </c>
      <c r="G50" s="3">
        <f t="shared" si="19"/>
        <v>34101</v>
      </c>
      <c r="H50" s="3">
        <f t="shared" si="19"/>
        <v>35207</v>
      </c>
      <c r="I50" s="3">
        <f t="shared" si="19"/>
        <v>33167</v>
      </c>
      <c r="J50" s="3">
        <f t="shared" si="19"/>
        <v>32309</v>
      </c>
      <c r="K50" s="3">
        <f t="shared" si="19"/>
        <v>29206</v>
      </c>
      <c r="L50" s="3">
        <f t="shared" si="19"/>
        <v>26289</v>
      </c>
      <c r="M50" s="3">
        <f t="shared" si="19"/>
        <v>26256</v>
      </c>
      <c r="N50" s="3">
        <f>SUM(N47:N49)</f>
        <v>362152</v>
      </c>
      <c r="O50" s="7"/>
      <c r="P50" s="7"/>
      <c r="Q50" s="7"/>
      <c r="R50" s="38"/>
    </row>
    <row r="51" spans="1:18" x14ac:dyDescent="0.25">
      <c r="A51" s="7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8"/>
    </row>
    <row r="52" spans="1:18" ht="15.75" x14ac:dyDescent="0.25">
      <c r="A52" s="75" t="s">
        <v>31</v>
      </c>
      <c r="B52" s="14">
        <v>78550</v>
      </c>
      <c r="C52" s="16">
        <v>71080</v>
      </c>
      <c r="D52" s="16">
        <v>83422</v>
      </c>
      <c r="E52" s="16">
        <v>84617</v>
      </c>
      <c r="F52" s="16">
        <v>85800</v>
      </c>
      <c r="G52" s="16">
        <v>85579</v>
      </c>
      <c r="H52" s="16">
        <v>97142</v>
      </c>
      <c r="I52" s="16">
        <v>89921</v>
      </c>
      <c r="J52" s="16">
        <f>2090+86278</f>
        <v>88368</v>
      </c>
      <c r="K52" s="16">
        <f>74911+2167</f>
        <v>77078</v>
      </c>
      <c r="L52" s="16">
        <f>76549+2246</f>
        <v>78795</v>
      </c>
      <c r="M52" s="16">
        <v>78749</v>
      </c>
      <c r="N52" s="5">
        <f>SUM(B52:M52)</f>
        <v>999101</v>
      </c>
      <c r="O52" s="41"/>
      <c r="P52" s="41"/>
      <c r="Q52" s="41"/>
      <c r="R52" s="43"/>
    </row>
    <row r="53" spans="1:18" x14ac:dyDescent="0.25">
      <c r="A53" s="7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8"/>
    </row>
    <row r="54" spans="1:18" ht="15.75" x14ac:dyDescent="0.25">
      <c r="A54" s="75" t="s">
        <v>77</v>
      </c>
      <c r="B54" s="5">
        <f>+B55+B56+B57+B58+B59</f>
        <v>33579</v>
      </c>
      <c r="C54" s="5">
        <f t="shared" ref="C54:N54" si="20">+C55+C56+C57+C58+C59</f>
        <v>17283</v>
      </c>
      <c r="D54" s="5">
        <f t="shared" si="20"/>
        <v>23400</v>
      </c>
      <c r="E54" s="5">
        <f t="shared" si="20"/>
        <v>38705</v>
      </c>
      <c r="F54" s="5">
        <f t="shared" si="20"/>
        <v>26823</v>
      </c>
      <c r="G54" s="5">
        <f t="shared" si="20"/>
        <v>30571</v>
      </c>
      <c r="H54" s="5">
        <f t="shared" si="20"/>
        <v>29232</v>
      </c>
      <c r="I54" s="5">
        <f t="shared" si="20"/>
        <v>16951</v>
      </c>
      <c r="J54" s="5">
        <f t="shared" si="20"/>
        <v>25800</v>
      </c>
      <c r="K54" s="5">
        <f t="shared" si="20"/>
        <v>23748</v>
      </c>
      <c r="L54" s="5">
        <f t="shared" si="20"/>
        <v>19227</v>
      </c>
      <c r="M54" s="5">
        <f t="shared" si="20"/>
        <v>19388</v>
      </c>
      <c r="N54" s="5">
        <f t="shared" si="20"/>
        <v>304707</v>
      </c>
      <c r="O54" s="41"/>
      <c r="P54" s="41"/>
      <c r="Q54" s="41"/>
      <c r="R54" s="43"/>
    </row>
    <row r="55" spans="1:18" x14ac:dyDescent="0.25">
      <c r="A55" s="74" t="s">
        <v>112</v>
      </c>
      <c r="B55" s="14">
        <v>31534</v>
      </c>
      <c r="C55" s="14">
        <v>16212</v>
      </c>
      <c r="D55" s="14">
        <v>22142</v>
      </c>
      <c r="E55" s="14">
        <v>36606</v>
      </c>
      <c r="F55" s="14">
        <v>25391</v>
      </c>
      <c r="G55" s="14">
        <v>29147</v>
      </c>
      <c r="H55" s="14">
        <v>27544</v>
      </c>
      <c r="I55" s="14">
        <v>16292</v>
      </c>
      <c r="J55" s="14">
        <v>23758</v>
      </c>
      <c r="K55" s="14">
        <v>21795</v>
      </c>
      <c r="L55" s="14">
        <v>17670</v>
      </c>
      <c r="M55" s="14">
        <v>17772</v>
      </c>
      <c r="N55" s="3">
        <f>SUM(B55:M55)</f>
        <v>285863</v>
      </c>
      <c r="O55" s="7"/>
      <c r="P55" s="7"/>
      <c r="Q55" s="7"/>
      <c r="R55" s="38"/>
    </row>
    <row r="56" spans="1:18" x14ac:dyDescent="0.25">
      <c r="A56" s="74" t="s">
        <v>113</v>
      </c>
      <c r="B56" s="14">
        <v>636</v>
      </c>
      <c r="C56" s="14">
        <v>380</v>
      </c>
      <c r="D56" s="14">
        <v>527</v>
      </c>
      <c r="E56" s="14">
        <v>872</v>
      </c>
      <c r="F56" s="14">
        <v>608</v>
      </c>
      <c r="G56" s="14">
        <v>612</v>
      </c>
      <c r="H56" s="14">
        <v>779</v>
      </c>
      <c r="I56" s="14">
        <v>394</v>
      </c>
      <c r="J56" s="14">
        <v>816</v>
      </c>
      <c r="K56" s="14">
        <v>888</v>
      </c>
      <c r="L56" s="14">
        <v>656</v>
      </c>
      <c r="M56" s="14">
        <v>709</v>
      </c>
      <c r="N56" s="3">
        <f>SUM(B56:M56)</f>
        <v>7877</v>
      </c>
      <c r="O56" s="7"/>
      <c r="P56" s="7"/>
      <c r="Q56" s="7"/>
      <c r="R56" s="38"/>
    </row>
    <row r="57" spans="1:18" x14ac:dyDescent="0.25">
      <c r="A57" s="74" t="s">
        <v>114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/>
      <c r="N57" s="3">
        <f>SUM(B57:M57)</f>
        <v>0</v>
      </c>
      <c r="O57" s="7"/>
      <c r="P57" s="7"/>
      <c r="Q57" s="7"/>
      <c r="R57" s="38"/>
    </row>
    <row r="58" spans="1:18" x14ac:dyDescent="0.25">
      <c r="A58" s="74" t="s">
        <v>115</v>
      </c>
      <c r="B58" s="14">
        <v>743</v>
      </c>
      <c r="C58" s="14">
        <v>461</v>
      </c>
      <c r="D58" s="14">
        <v>480</v>
      </c>
      <c r="E58" s="14">
        <v>698</v>
      </c>
      <c r="F58" s="14">
        <v>556</v>
      </c>
      <c r="G58" s="14">
        <v>463</v>
      </c>
      <c r="H58" s="14">
        <v>372</v>
      </c>
      <c r="I58" s="14">
        <v>171</v>
      </c>
      <c r="J58" s="14">
        <v>697</v>
      </c>
      <c r="K58" s="14">
        <v>813</v>
      </c>
      <c r="L58" s="14">
        <v>702</v>
      </c>
      <c r="M58" s="14">
        <v>760</v>
      </c>
      <c r="N58" s="3">
        <f>SUM(B58:M58)</f>
        <v>6916</v>
      </c>
      <c r="O58" s="7"/>
      <c r="P58" s="7"/>
      <c r="Q58" s="7"/>
      <c r="R58" s="38"/>
    </row>
    <row r="59" spans="1:18" x14ac:dyDescent="0.25">
      <c r="A59" s="74" t="s">
        <v>116</v>
      </c>
      <c r="B59" s="14">
        <v>666</v>
      </c>
      <c r="C59" s="14">
        <v>230</v>
      </c>
      <c r="D59" s="14">
        <v>251</v>
      </c>
      <c r="E59" s="14">
        <v>529</v>
      </c>
      <c r="F59" s="14">
        <v>268</v>
      </c>
      <c r="G59" s="14">
        <v>349</v>
      </c>
      <c r="H59" s="14">
        <v>537</v>
      </c>
      <c r="I59" s="14">
        <v>94</v>
      </c>
      <c r="J59" s="14">
        <v>529</v>
      </c>
      <c r="K59" s="14">
        <v>252</v>
      </c>
      <c r="L59" s="14">
        <v>199</v>
      </c>
      <c r="M59" s="14">
        <v>147</v>
      </c>
      <c r="N59" s="3">
        <f>SUM(B59:M59)</f>
        <v>4051</v>
      </c>
      <c r="O59" s="7"/>
      <c r="P59" s="7"/>
      <c r="Q59" s="7"/>
      <c r="R59" s="38"/>
    </row>
    <row r="60" spans="1:18" x14ac:dyDescent="0.25">
      <c r="A60" s="7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8"/>
    </row>
    <row r="61" spans="1:18" ht="15.75" x14ac:dyDescent="0.25">
      <c r="A61" s="75" t="s">
        <v>32</v>
      </c>
      <c r="B61" s="5">
        <f>+B62+B63</f>
        <v>27468</v>
      </c>
      <c r="C61" s="5">
        <f t="shared" ref="C61:N61" si="21">+C62+C63</f>
        <v>11561</v>
      </c>
      <c r="D61" s="5">
        <f t="shared" si="21"/>
        <v>16798</v>
      </c>
      <c r="E61" s="5">
        <f t="shared" si="21"/>
        <v>22244</v>
      </c>
      <c r="F61" s="5">
        <f t="shared" si="21"/>
        <v>19193</v>
      </c>
      <c r="G61" s="5">
        <f t="shared" si="21"/>
        <v>19136</v>
      </c>
      <c r="H61" s="5">
        <f t="shared" si="21"/>
        <v>31001</v>
      </c>
      <c r="I61" s="5">
        <f t="shared" si="21"/>
        <v>16481</v>
      </c>
      <c r="J61" s="5">
        <f t="shared" si="21"/>
        <v>21899</v>
      </c>
      <c r="K61" s="5">
        <f t="shared" si="21"/>
        <v>23212</v>
      </c>
      <c r="L61" s="5">
        <f t="shared" si="21"/>
        <v>18160</v>
      </c>
      <c r="M61" s="5">
        <f t="shared" si="21"/>
        <v>15250</v>
      </c>
      <c r="N61" s="5">
        <f t="shared" si="21"/>
        <v>242403</v>
      </c>
      <c r="O61" s="41"/>
      <c r="P61" s="41"/>
      <c r="Q61" s="41"/>
      <c r="R61" s="43"/>
    </row>
    <row r="62" spans="1:18" x14ac:dyDescent="0.25">
      <c r="A62" s="74" t="s">
        <v>117</v>
      </c>
      <c r="B62" s="14">
        <v>24314</v>
      </c>
      <c r="C62" s="14">
        <v>9915</v>
      </c>
      <c r="D62" s="14">
        <v>13753</v>
      </c>
      <c r="E62" s="14">
        <v>19517</v>
      </c>
      <c r="F62" s="14">
        <v>15853</v>
      </c>
      <c r="G62" s="14">
        <v>15439</v>
      </c>
      <c r="H62" s="14">
        <v>20152</v>
      </c>
      <c r="I62" s="14">
        <v>9362</v>
      </c>
      <c r="J62" s="14">
        <v>15753</v>
      </c>
      <c r="K62" s="14">
        <v>15783</v>
      </c>
      <c r="L62" s="14">
        <v>13234</v>
      </c>
      <c r="M62" s="14">
        <v>11917</v>
      </c>
      <c r="N62" s="3">
        <f>SUM(B62:M62)</f>
        <v>184992</v>
      </c>
      <c r="O62" s="7"/>
      <c r="P62" s="7"/>
      <c r="Q62" s="7"/>
      <c r="R62" s="38"/>
    </row>
    <row r="63" spans="1:18" x14ac:dyDescent="0.25">
      <c r="A63" s="74" t="s">
        <v>118</v>
      </c>
      <c r="B63" s="14">
        <v>3154</v>
      </c>
      <c r="C63" s="14">
        <v>1646</v>
      </c>
      <c r="D63" s="14">
        <v>3045</v>
      </c>
      <c r="E63" s="14">
        <v>2727</v>
      </c>
      <c r="F63" s="14">
        <v>3340</v>
      </c>
      <c r="G63" s="14">
        <v>3697</v>
      </c>
      <c r="H63" s="14">
        <v>10849</v>
      </c>
      <c r="I63" s="14">
        <v>7119</v>
      </c>
      <c r="J63" s="14">
        <v>6146</v>
      </c>
      <c r="K63" s="14">
        <v>7429</v>
      </c>
      <c r="L63" s="14">
        <v>4926</v>
      </c>
      <c r="M63" s="14">
        <v>3333</v>
      </c>
      <c r="N63" s="3">
        <f>SUM(B63:M63)</f>
        <v>57411</v>
      </c>
      <c r="O63" s="7"/>
      <c r="P63" s="7"/>
      <c r="Q63" s="7"/>
      <c r="R63" s="38"/>
    </row>
    <row r="64" spans="1:18" x14ac:dyDescent="0.25">
      <c r="A64" s="8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8"/>
    </row>
    <row r="65" spans="1:18" ht="15.75" x14ac:dyDescent="0.25">
      <c r="A65" s="75" t="s">
        <v>156</v>
      </c>
      <c r="B65" s="102">
        <v>29018.077000000001</v>
      </c>
      <c r="C65" s="16">
        <v>22709.88</v>
      </c>
      <c r="D65" s="16">
        <v>27543.01</v>
      </c>
      <c r="E65" s="16">
        <v>28689.119999999999</v>
      </c>
      <c r="F65" s="16">
        <v>26890.12</v>
      </c>
      <c r="G65" s="16">
        <v>30112.09</v>
      </c>
      <c r="H65" s="16">
        <v>31099.1</v>
      </c>
      <c r="I65" s="16">
        <v>28044.560000000001</v>
      </c>
      <c r="J65" s="16">
        <v>25440.67</v>
      </c>
      <c r="K65" s="16">
        <v>26908.33</v>
      </c>
      <c r="L65" s="16">
        <v>32708.35</v>
      </c>
      <c r="M65" s="16">
        <v>21514.79</v>
      </c>
      <c r="N65" s="5">
        <f>SUM(B65:M65)</f>
        <v>330678.09699999995</v>
      </c>
      <c r="O65" s="41"/>
      <c r="P65" s="41"/>
      <c r="Q65" s="41"/>
      <c r="R65" s="43"/>
    </row>
    <row r="66" spans="1:18" ht="15.75" x14ac:dyDescent="0.25">
      <c r="A66" s="75" t="s">
        <v>157</v>
      </c>
      <c r="B66" s="102">
        <v>28809.85</v>
      </c>
      <c r="C66" s="16">
        <v>22521.8</v>
      </c>
      <c r="D66" s="16">
        <v>27394.77</v>
      </c>
      <c r="E66" s="16">
        <v>28280.33</v>
      </c>
      <c r="F66" s="16">
        <v>24306.15</v>
      </c>
      <c r="G66" s="16">
        <v>29315.72</v>
      </c>
      <c r="H66" s="16">
        <v>30886.7</v>
      </c>
      <c r="I66" s="16">
        <v>28436.76</v>
      </c>
      <c r="J66" s="16">
        <v>25133.87</v>
      </c>
      <c r="K66" s="16">
        <v>26715.119999999999</v>
      </c>
      <c r="L66" s="16">
        <v>32448.76</v>
      </c>
      <c r="M66" s="16">
        <v>21299.38</v>
      </c>
      <c r="N66" s="5">
        <f>SUM(B66:M66)</f>
        <v>325549.21000000002</v>
      </c>
      <c r="O66" s="41"/>
      <c r="P66" s="41"/>
      <c r="Q66" s="41"/>
      <c r="R66" s="43"/>
    </row>
    <row r="67" spans="1:18" x14ac:dyDescent="0.25">
      <c r="A67" s="8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8"/>
    </row>
    <row r="68" spans="1:18" ht="15.75" x14ac:dyDescent="0.25">
      <c r="A68" s="75" t="s">
        <v>78</v>
      </c>
      <c r="B68" s="5">
        <f>+B69+B70+B71+B72+B73</f>
        <v>672333.68</v>
      </c>
      <c r="C68" s="5">
        <f t="shared" ref="C68:N68" si="22">+C69+C70+C71+C72+C73</f>
        <v>345745.81</v>
      </c>
      <c r="D68" s="5">
        <f t="shared" si="22"/>
        <v>435113.5</v>
      </c>
      <c r="E68" s="5">
        <f t="shared" si="22"/>
        <v>722104.62000000011</v>
      </c>
      <c r="F68" s="5">
        <f t="shared" si="22"/>
        <v>486335.33999999997</v>
      </c>
      <c r="G68" s="5">
        <f t="shared" si="22"/>
        <v>557587.52000000014</v>
      </c>
      <c r="H68" s="5">
        <f t="shared" si="22"/>
        <v>542521.77999999991</v>
      </c>
      <c r="I68" s="5">
        <f t="shared" si="22"/>
        <v>311327.03999999998</v>
      </c>
      <c r="J68" s="5">
        <f t="shared" si="22"/>
        <v>488103.62</v>
      </c>
      <c r="K68" s="5">
        <f t="shared" si="22"/>
        <v>462189.27999999997</v>
      </c>
      <c r="L68" s="5">
        <f t="shared" si="22"/>
        <v>391312.76</v>
      </c>
      <c r="M68" s="5">
        <f t="shared" si="22"/>
        <v>397083.82</v>
      </c>
      <c r="N68" s="5">
        <f t="shared" si="22"/>
        <v>5811758.7700000014</v>
      </c>
      <c r="O68" s="41"/>
      <c r="P68" s="41"/>
      <c r="Q68" s="41"/>
      <c r="R68" s="43"/>
    </row>
    <row r="69" spans="1:18" x14ac:dyDescent="0.25">
      <c r="A69" s="74" t="s">
        <v>119</v>
      </c>
      <c r="B69" s="14">
        <v>628831.80000000005</v>
      </c>
      <c r="C69" s="14">
        <v>321903.44</v>
      </c>
      <c r="D69" s="14">
        <v>407486.83</v>
      </c>
      <c r="E69" s="14">
        <v>679114.31</v>
      </c>
      <c r="F69" s="14">
        <v>456798.18</v>
      </c>
      <c r="G69" s="14">
        <v>527630.64</v>
      </c>
      <c r="H69" s="14">
        <v>505546.19</v>
      </c>
      <c r="I69" s="14">
        <v>298805.08</v>
      </c>
      <c r="J69" s="14">
        <v>447894.49</v>
      </c>
      <c r="K69" s="14">
        <v>420940.34</v>
      </c>
      <c r="L69" s="14">
        <v>356346.02</v>
      </c>
      <c r="M69" s="14">
        <v>360018.7</v>
      </c>
      <c r="N69" s="3">
        <f>SUM(B69:M69)</f>
        <v>5411316.0200000005</v>
      </c>
      <c r="O69" s="7"/>
      <c r="P69" s="7"/>
      <c r="Q69" s="7"/>
      <c r="R69" s="38"/>
    </row>
    <row r="70" spans="1:18" x14ac:dyDescent="0.25">
      <c r="A70" s="74" t="s">
        <v>120</v>
      </c>
      <c r="B70" s="14">
        <v>18079</v>
      </c>
      <c r="C70" s="14">
        <v>11352.73</v>
      </c>
      <c r="D70" s="14">
        <v>14502.01</v>
      </c>
      <c r="E70" s="14">
        <v>22667.43</v>
      </c>
      <c r="F70" s="14">
        <v>15112.32</v>
      </c>
      <c r="G70" s="14">
        <v>15017.79</v>
      </c>
      <c r="H70" s="14">
        <v>19297.759999999998</v>
      </c>
      <c r="I70" s="14">
        <v>9197</v>
      </c>
      <c r="J70" s="14">
        <v>19595.23</v>
      </c>
      <c r="K70" s="14">
        <v>21497.23</v>
      </c>
      <c r="L70" s="14">
        <v>18629.810000000001</v>
      </c>
      <c r="M70" s="14">
        <v>19298.09</v>
      </c>
      <c r="N70" s="3">
        <f>SUM(B70:M70)</f>
        <v>204246.39999999999</v>
      </c>
      <c r="O70" s="7"/>
      <c r="P70" s="7"/>
      <c r="Q70" s="7"/>
      <c r="R70" s="38"/>
    </row>
    <row r="71" spans="1:18" x14ac:dyDescent="0.25">
      <c r="A71" s="74" t="s">
        <v>121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/>
      <c r="M71" s="14"/>
      <c r="N71" s="3">
        <f>SUM(B71:M71)</f>
        <v>0</v>
      </c>
      <c r="O71" s="7"/>
      <c r="P71" s="7"/>
      <c r="Q71" s="7"/>
      <c r="R71" s="38"/>
    </row>
    <row r="72" spans="1:18" x14ac:dyDescent="0.25">
      <c r="A72" s="74" t="s">
        <v>122</v>
      </c>
      <c r="B72" s="14">
        <v>13201</v>
      </c>
      <c r="C72" s="14">
        <v>8112.19</v>
      </c>
      <c r="D72" s="14">
        <v>8377.93</v>
      </c>
      <c r="E72" s="14">
        <v>12327.57</v>
      </c>
      <c r="F72" s="14">
        <v>9770.5400000000009</v>
      </c>
      <c r="G72" s="14">
        <v>8505.68</v>
      </c>
      <c r="H72" s="14">
        <v>7148.33</v>
      </c>
      <c r="I72" s="14">
        <v>2807.98</v>
      </c>
      <c r="J72" s="14">
        <v>12838.65</v>
      </c>
      <c r="K72" s="14">
        <v>15718.1</v>
      </c>
      <c r="L72" s="14">
        <v>13430.33</v>
      </c>
      <c r="M72" s="14">
        <v>15518.31</v>
      </c>
      <c r="N72" s="3">
        <f>SUM(B72:M72)</f>
        <v>127756.61</v>
      </c>
      <c r="O72" s="7"/>
      <c r="P72" s="7"/>
      <c r="Q72" s="7"/>
      <c r="R72" s="38"/>
    </row>
    <row r="73" spans="1:18" x14ac:dyDescent="0.25">
      <c r="A73" s="74" t="s">
        <v>123</v>
      </c>
      <c r="B73" s="14">
        <v>12221.88</v>
      </c>
      <c r="C73" s="14">
        <v>4377.45</v>
      </c>
      <c r="D73" s="14">
        <v>4746.7299999999996</v>
      </c>
      <c r="E73" s="14">
        <v>7995.31</v>
      </c>
      <c r="F73" s="14">
        <v>4654.3</v>
      </c>
      <c r="G73" s="14">
        <v>6433.41</v>
      </c>
      <c r="H73" s="14">
        <v>10529.5</v>
      </c>
      <c r="I73" s="14">
        <v>516.98</v>
      </c>
      <c r="J73" s="14">
        <v>7775.25</v>
      </c>
      <c r="K73" s="14">
        <v>4033.61</v>
      </c>
      <c r="L73" s="14">
        <v>2906.6</v>
      </c>
      <c r="M73" s="14">
        <v>2248.7199999999998</v>
      </c>
      <c r="N73" s="3">
        <f>SUM(B73:M73)</f>
        <v>68439.740000000005</v>
      </c>
      <c r="O73" s="7"/>
      <c r="P73" s="7"/>
      <c r="Q73" s="7"/>
      <c r="R73" s="38"/>
    </row>
    <row r="74" spans="1:18" x14ac:dyDescent="0.25">
      <c r="A74" s="74"/>
      <c r="B74" s="4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8"/>
    </row>
    <row r="75" spans="1:18" ht="15.75" x14ac:dyDescent="0.25">
      <c r="A75" s="75" t="s">
        <v>83</v>
      </c>
      <c r="B75" s="5">
        <f t="shared" ref="B75:M75" si="23">SUM(B76:B80)</f>
        <v>609801.65999999992</v>
      </c>
      <c r="C75" s="5">
        <f t="shared" si="23"/>
        <v>398978.63000000006</v>
      </c>
      <c r="D75" s="5">
        <f t="shared" si="23"/>
        <v>508431.50999999995</v>
      </c>
      <c r="E75" s="5">
        <f t="shared" si="23"/>
        <v>470990.73</v>
      </c>
      <c r="F75" s="5">
        <f t="shared" si="23"/>
        <v>590871.95000000007</v>
      </c>
      <c r="G75" s="5">
        <f t="shared" si="23"/>
        <v>587786.78</v>
      </c>
      <c r="H75" s="5">
        <f t="shared" si="23"/>
        <v>1315394.8400000001</v>
      </c>
      <c r="I75" s="5">
        <f t="shared" si="23"/>
        <v>949822.66999999993</v>
      </c>
      <c r="J75" s="5">
        <f t="shared" si="23"/>
        <v>826237.42999999993</v>
      </c>
      <c r="K75" s="5">
        <f t="shared" si="23"/>
        <v>847713.87</v>
      </c>
      <c r="L75" s="5">
        <f t="shared" si="23"/>
        <v>655131.34000000008</v>
      </c>
      <c r="M75" s="5">
        <f t="shared" si="23"/>
        <v>601500.41</v>
      </c>
      <c r="N75" s="5">
        <f t="shared" ref="N75:N80" si="24">SUM(B75:M75)</f>
        <v>8362661.8199999994</v>
      </c>
      <c r="O75" s="41"/>
      <c r="P75" s="41"/>
      <c r="Q75" s="41"/>
      <c r="R75" s="43"/>
    </row>
    <row r="76" spans="1:18" x14ac:dyDescent="0.25">
      <c r="A76" s="74" t="s">
        <v>124</v>
      </c>
      <c r="B76" s="14">
        <f>288335.35+256884.6+3463.89+301.84+32881</f>
        <v>581866.67999999993</v>
      </c>
      <c r="C76" s="14">
        <f>210224.07+1737.1+126414.38+4015.62+1223.76+23623</f>
        <v>367237.93000000005</v>
      </c>
      <c r="D76" s="14">
        <f>259593.8+2193.13+212503.03+2620.22+475.34+17706</f>
        <v>495091.51999999996</v>
      </c>
      <c r="E76" s="14">
        <f>240082.47+2004.72+189160.93+2124.87+114.13+13145</f>
        <v>446632.12</v>
      </c>
      <c r="F76" s="14">
        <f>321198.61+2784.81+202960.2+2380.1+45520</f>
        <v>574843.72</v>
      </c>
      <c r="G76" s="14">
        <f>303226.93+44355+221724.8+2562.13+3351.91+1025.19</f>
        <v>576245.96</v>
      </c>
      <c r="H76" s="14">
        <f>423123.04+36395+770434.79+3553.43+19447.47+3683.76</f>
        <v>1256637.49</v>
      </c>
      <c r="I76" s="14">
        <f>375668.3+42246.03+3202.8+466488.25+8035.95+1628.91</f>
        <v>897270.23999999987</v>
      </c>
      <c r="J76" s="14">
        <f>397338.94+34340+3332.64+0+347870.62+4476.1+673.43</f>
        <v>788031.73</v>
      </c>
      <c r="K76" s="14">
        <f>389350.19+34630.18+3405.9+380166.35+5279.26+688.77+0</f>
        <v>813520.65</v>
      </c>
      <c r="L76" s="14">
        <v>615753.88</v>
      </c>
      <c r="M76" s="14">
        <v>562005.5</v>
      </c>
      <c r="N76" s="3">
        <f t="shared" si="24"/>
        <v>7975137.4200000009</v>
      </c>
      <c r="O76" s="7"/>
      <c r="P76" s="7"/>
      <c r="Q76" s="7"/>
      <c r="R76" s="38"/>
    </row>
    <row r="77" spans="1:18" x14ac:dyDescent="0.25">
      <c r="A77" s="74" t="s">
        <v>125</v>
      </c>
      <c r="B77" s="14">
        <f>9156.86+7372.85+65.75</f>
        <v>16595.46</v>
      </c>
      <c r="C77" s="14">
        <f>5802.63+53.5+20563.33+216.6</f>
        <v>26636.06</v>
      </c>
      <c r="D77" s="14">
        <f>1916.66+19.37+8066.61+78.96</f>
        <v>10081.599999999999</v>
      </c>
      <c r="E77" s="14">
        <f>9541.8+73+0+9151.65+87.28+0</f>
        <v>18853.729999999996</v>
      </c>
      <c r="F77" s="14">
        <f>11643.37+112.41+3322.68+33.59</f>
        <v>15112.050000000001</v>
      </c>
      <c r="G77" s="14">
        <f>4900.98+41.64+3087.48+55.11</f>
        <v>8085.21</v>
      </c>
      <c r="H77" s="14">
        <f>14885.28+151.32+34396.34+354.37</f>
        <v>49787.31</v>
      </c>
      <c r="I77" s="14">
        <f>18729.64+130.37+13801.84+207.37</f>
        <v>32869.22</v>
      </c>
      <c r="J77" s="14">
        <f>12270.77+118.49+0+5970.35+43.49</f>
        <v>18403.100000000002</v>
      </c>
      <c r="K77" s="14">
        <f>14308.35+123.3+10103.37+71.84</f>
        <v>24606.86</v>
      </c>
      <c r="L77" s="14">
        <v>27841.27</v>
      </c>
      <c r="M77" s="14">
        <v>38979.550000000003</v>
      </c>
      <c r="N77" s="3">
        <f t="shared" si="24"/>
        <v>287851.42000000004</v>
      </c>
      <c r="O77" s="7"/>
      <c r="P77" s="7"/>
      <c r="Q77" s="7"/>
      <c r="R77" s="38"/>
    </row>
    <row r="78" spans="1:18" x14ac:dyDescent="0.25">
      <c r="A78" s="74" t="s">
        <v>126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/>
      <c r="M78" s="14">
        <v>0</v>
      </c>
      <c r="N78" s="3">
        <f t="shared" si="24"/>
        <v>0</v>
      </c>
      <c r="O78" s="7"/>
      <c r="P78" s="7"/>
      <c r="Q78" s="7"/>
      <c r="R78" s="38"/>
    </row>
    <row r="79" spans="1:18" x14ac:dyDescent="0.25">
      <c r="A79" s="74" t="s">
        <v>127</v>
      </c>
      <c r="B79" s="14">
        <f>1236.82+9513.73+115.59</f>
        <v>10866.14</v>
      </c>
      <c r="C79" s="14">
        <f>1163.09+11.76+2800.37+28.12</f>
        <v>4003.3399999999997</v>
      </c>
      <c r="D79" s="14">
        <f>2202.38+22.25</f>
        <v>2224.63</v>
      </c>
      <c r="E79" s="14">
        <f>4969.63+50+0+0+0+0</f>
        <v>5019.63</v>
      </c>
      <c r="F79" s="14">
        <f>162.85+1.65</f>
        <v>164.5</v>
      </c>
      <c r="G79" s="14">
        <f>2741.35+27.3+264.97+5.94</f>
        <v>3039.56</v>
      </c>
      <c r="H79" s="14">
        <f>250.85+2.53+7481.96+75.5</f>
        <v>7810.84</v>
      </c>
      <c r="I79" s="14">
        <f>6469.35+65.96+7012.31+71.94+0</f>
        <v>13619.560000000001</v>
      </c>
      <c r="J79" s="14">
        <f>5166.74+52.28+2459.22+24.85+0</f>
        <v>7703.09</v>
      </c>
      <c r="K79" s="14">
        <f>9324.2+92.84</f>
        <v>9417.0400000000009</v>
      </c>
      <c r="L79" s="14">
        <v>7234.77</v>
      </c>
      <c r="M79" s="14">
        <v>0</v>
      </c>
      <c r="N79" s="3">
        <f t="shared" si="24"/>
        <v>71103.099999999991</v>
      </c>
      <c r="O79" s="7"/>
      <c r="P79" s="7"/>
      <c r="Q79" s="7"/>
      <c r="R79" s="38"/>
    </row>
    <row r="80" spans="1:18" x14ac:dyDescent="0.25">
      <c r="A80" s="74" t="s">
        <v>128</v>
      </c>
      <c r="B80" s="14">
        <f>158.74+311.49+3.15</f>
        <v>473.38</v>
      </c>
      <c r="C80" s="14">
        <f>243.7+2.46+846.58+8.56</f>
        <v>1101.3</v>
      </c>
      <c r="D80" s="14">
        <f>0+0+1033.76</f>
        <v>1033.76</v>
      </c>
      <c r="E80" s="14">
        <f>321.04+3.24+159.36+1.61+0</f>
        <v>485.25000000000006</v>
      </c>
      <c r="F80" s="14">
        <f>744.17+7.51</f>
        <v>751.68</v>
      </c>
      <c r="G80" s="14">
        <f>411.89+4.16</f>
        <v>416.05</v>
      </c>
      <c r="H80" s="14">
        <f>1147.6+11.6</f>
        <v>1159.1999999999998</v>
      </c>
      <c r="I80" s="14">
        <f>1366.41+13.8+4636.59+46.85</f>
        <v>6063.6500000000005</v>
      </c>
      <c r="J80" s="14">
        <f>11959.34+140.17</f>
        <v>12099.51</v>
      </c>
      <c r="K80" s="14">
        <f>167.63+1.69</f>
        <v>169.32</v>
      </c>
      <c r="L80" s="14">
        <v>4301.42</v>
      </c>
      <c r="M80" s="14">
        <v>515.36</v>
      </c>
      <c r="N80" s="3">
        <f t="shared" si="24"/>
        <v>28569.879999999997</v>
      </c>
      <c r="O80" s="7"/>
      <c r="P80" s="7"/>
      <c r="Q80" s="7"/>
      <c r="R80" s="38"/>
    </row>
    <row r="81" spans="1:18" x14ac:dyDescent="0.25">
      <c r="A81" s="82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59"/>
      <c r="P81" s="59"/>
      <c r="Q81" s="59"/>
      <c r="R81" s="61"/>
    </row>
    <row r="82" spans="1:18" x14ac:dyDescent="0.25">
      <c r="A82" s="74" t="s">
        <v>130</v>
      </c>
      <c r="B82" s="14">
        <v>331768.77</v>
      </c>
      <c r="C82" s="14">
        <v>242861.31</v>
      </c>
      <c r="D82" s="14">
        <f>283653.59</f>
        <v>283653.59000000003</v>
      </c>
      <c r="E82" s="14">
        <v>270190.90000000002</v>
      </c>
      <c r="F82" s="14">
        <v>382175.38</v>
      </c>
      <c r="G82" s="14">
        <v>358271.61</v>
      </c>
      <c r="H82" s="14">
        <v>479520.65</v>
      </c>
      <c r="I82" s="14">
        <v>447892.66</v>
      </c>
      <c r="J82" s="14">
        <v>452619.86</v>
      </c>
      <c r="K82" s="14">
        <v>451314.28</v>
      </c>
      <c r="L82" s="14">
        <v>375506.87</v>
      </c>
      <c r="M82" s="14">
        <v>342110.13</v>
      </c>
      <c r="N82" s="3"/>
      <c r="O82" s="7"/>
      <c r="P82" s="7"/>
      <c r="Q82" s="7"/>
      <c r="R82" s="38"/>
    </row>
    <row r="83" spans="1:18" x14ac:dyDescent="0.25">
      <c r="A83" s="74" t="s">
        <v>129</v>
      </c>
      <c r="B83" s="14">
        <v>278032.89</v>
      </c>
      <c r="C83" s="14">
        <v>156117.32</v>
      </c>
      <c r="D83" s="14">
        <v>224777.92</v>
      </c>
      <c r="E83" s="14">
        <v>200799.83</v>
      </c>
      <c r="F83" s="14">
        <v>208696.57</v>
      </c>
      <c r="G83" s="14">
        <v>229514.4</v>
      </c>
      <c r="H83" s="14">
        <v>835874.19</v>
      </c>
      <c r="I83" s="14">
        <v>501930.01</v>
      </c>
      <c r="J83" s="14">
        <v>373617.57</v>
      </c>
      <c r="K83" s="14">
        <v>396309.59</v>
      </c>
      <c r="L83" s="14">
        <v>279624.46999999997</v>
      </c>
      <c r="M83" s="14">
        <v>259390.28</v>
      </c>
      <c r="N83" s="3"/>
      <c r="O83" s="7"/>
      <c r="P83" s="7"/>
      <c r="Q83" s="7"/>
      <c r="R83" s="38"/>
    </row>
    <row r="84" spans="1:18" x14ac:dyDescent="0.25">
      <c r="A84" s="74"/>
      <c r="B84" s="4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38"/>
    </row>
    <row r="85" spans="1:18" x14ac:dyDescent="0.25">
      <c r="A85" s="83" t="s">
        <v>33</v>
      </c>
      <c r="B85" s="1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8"/>
    </row>
    <row r="86" spans="1:18" ht="15.75" x14ac:dyDescent="0.25">
      <c r="A86" s="75" t="s">
        <v>34</v>
      </c>
      <c r="B86" s="9">
        <f>+B87+B93</f>
        <v>3441</v>
      </c>
      <c r="C86" s="9">
        <f t="shared" ref="C86:M86" si="25">+C87+C93</f>
        <v>3442</v>
      </c>
      <c r="D86" s="9">
        <f t="shared" si="25"/>
        <v>3458</v>
      </c>
      <c r="E86" s="9">
        <f t="shared" si="25"/>
        <v>3461</v>
      </c>
      <c r="F86" s="9">
        <f t="shared" si="25"/>
        <v>3477</v>
      </c>
      <c r="G86" s="9">
        <f t="shared" si="25"/>
        <v>3497</v>
      </c>
      <c r="H86" s="9">
        <f t="shared" si="25"/>
        <v>3509</v>
      </c>
      <c r="I86" s="9">
        <f t="shared" si="25"/>
        <v>3513</v>
      </c>
      <c r="J86" s="9">
        <f t="shared" si="25"/>
        <v>3524</v>
      </c>
      <c r="K86" s="9">
        <f t="shared" si="25"/>
        <v>3538</v>
      </c>
      <c r="L86" s="9">
        <f t="shared" si="25"/>
        <v>3539</v>
      </c>
      <c r="M86" s="9">
        <f t="shared" si="25"/>
        <v>3561</v>
      </c>
      <c r="N86" s="47"/>
      <c r="O86" s="47"/>
      <c r="P86" s="41"/>
      <c r="Q86" s="41"/>
      <c r="R86" s="43"/>
    </row>
    <row r="87" spans="1:18" x14ac:dyDescent="0.25">
      <c r="A87" s="84" t="s">
        <v>35</v>
      </c>
      <c r="B87" s="10">
        <f>+B88+B89+B90+B91+B92</f>
        <v>3226</v>
      </c>
      <c r="C87" s="10">
        <f t="shared" ref="C87:M87" si="26">+C88+C89+C90+C91+C92</f>
        <v>3227</v>
      </c>
      <c r="D87" s="10">
        <f t="shared" si="26"/>
        <v>3241</v>
      </c>
      <c r="E87" s="10">
        <f t="shared" si="26"/>
        <v>3242</v>
      </c>
      <c r="F87" s="10">
        <f t="shared" si="26"/>
        <v>3259</v>
      </c>
      <c r="G87" s="10">
        <f t="shared" si="26"/>
        <v>3281</v>
      </c>
      <c r="H87" s="10">
        <f t="shared" si="26"/>
        <v>3290</v>
      </c>
      <c r="I87" s="10">
        <f t="shared" si="26"/>
        <v>3293</v>
      </c>
      <c r="J87" s="10">
        <f t="shared" si="26"/>
        <v>3303</v>
      </c>
      <c r="K87" s="10">
        <f t="shared" si="26"/>
        <v>3314</v>
      </c>
      <c r="L87" s="10">
        <f t="shared" si="26"/>
        <v>3316</v>
      </c>
      <c r="M87" s="10">
        <f t="shared" si="26"/>
        <v>3332</v>
      </c>
      <c r="N87" s="48"/>
      <c r="O87" s="48"/>
      <c r="P87" s="42"/>
      <c r="Q87" s="42"/>
      <c r="R87" s="49"/>
    </row>
    <row r="88" spans="1:18" x14ac:dyDescent="0.25">
      <c r="A88" s="73" t="s">
        <v>131</v>
      </c>
      <c r="B88" s="17">
        <v>3152</v>
      </c>
      <c r="C88" s="17">
        <v>3153</v>
      </c>
      <c r="D88" s="17">
        <v>3165</v>
      </c>
      <c r="E88" s="17">
        <v>3165</v>
      </c>
      <c r="F88" s="17">
        <v>3181</v>
      </c>
      <c r="G88" s="17">
        <v>3201</v>
      </c>
      <c r="H88" s="17">
        <v>3206</v>
      </c>
      <c r="I88" s="17">
        <v>3209</v>
      </c>
      <c r="J88" s="17">
        <v>3211</v>
      </c>
      <c r="K88" s="17">
        <v>3221</v>
      </c>
      <c r="L88" s="17">
        <v>3223</v>
      </c>
      <c r="M88" s="17">
        <v>3227</v>
      </c>
      <c r="N88" s="11"/>
      <c r="O88" s="11"/>
      <c r="P88" s="7"/>
      <c r="Q88" s="7"/>
      <c r="R88" s="38"/>
    </row>
    <row r="89" spans="1:18" x14ac:dyDescent="0.25">
      <c r="A89" s="73" t="s">
        <v>132</v>
      </c>
      <c r="B89" s="17">
        <v>51</v>
      </c>
      <c r="C89" s="17">
        <v>51</v>
      </c>
      <c r="D89" s="17">
        <v>53</v>
      </c>
      <c r="E89" s="17">
        <v>53</v>
      </c>
      <c r="F89" s="17">
        <v>54</v>
      </c>
      <c r="G89" s="17">
        <v>55</v>
      </c>
      <c r="H89" s="17">
        <v>56</v>
      </c>
      <c r="I89" s="17">
        <v>56</v>
      </c>
      <c r="J89" s="17">
        <v>61</v>
      </c>
      <c r="K89" s="17">
        <v>63</v>
      </c>
      <c r="L89" s="17">
        <v>63</v>
      </c>
      <c r="M89" s="17">
        <v>63</v>
      </c>
      <c r="N89" s="11"/>
      <c r="O89" s="11"/>
      <c r="P89" s="7"/>
      <c r="Q89" s="7"/>
      <c r="R89" s="38"/>
    </row>
    <row r="90" spans="1:18" x14ac:dyDescent="0.25">
      <c r="A90" s="73" t="s">
        <v>133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1"/>
      <c r="O90" s="11"/>
      <c r="P90" s="7"/>
      <c r="Q90" s="7"/>
      <c r="R90" s="38"/>
    </row>
    <row r="91" spans="1:18" x14ac:dyDescent="0.25">
      <c r="A91" s="73" t="s">
        <v>134</v>
      </c>
      <c r="B91" s="17">
        <v>8</v>
      </c>
      <c r="C91" s="17">
        <v>8</v>
      </c>
      <c r="D91" s="17">
        <v>8</v>
      </c>
      <c r="E91" s="17">
        <v>8</v>
      </c>
      <c r="F91" s="17">
        <v>8</v>
      </c>
      <c r="G91" s="17">
        <v>8</v>
      </c>
      <c r="H91" s="17">
        <v>8</v>
      </c>
      <c r="I91" s="17">
        <v>8</v>
      </c>
      <c r="J91" s="17">
        <v>8</v>
      </c>
      <c r="K91" s="17">
        <v>8</v>
      </c>
      <c r="L91" s="17">
        <v>8</v>
      </c>
      <c r="M91" s="17">
        <v>8</v>
      </c>
      <c r="N91" s="11"/>
      <c r="O91" s="11"/>
      <c r="P91" s="7"/>
      <c r="Q91" s="7"/>
      <c r="R91" s="38"/>
    </row>
    <row r="92" spans="1:18" x14ac:dyDescent="0.25">
      <c r="A92" s="73" t="s">
        <v>135</v>
      </c>
      <c r="B92" s="17">
        <v>15</v>
      </c>
      <c r="C92" s="17">
        <v>15</v>
      </c>
      <c r="D92" s="17">
        <v>15</v>
      </c>
      <c r="E92" s="17">
        <v>16</v>
      </c>
      <c r="F92" s="17">
        <v>16</v>
      </c>
      <c r="G92" s="17">
        <v>17</v>
      </c>
      <c r="H92" s="17">
        <v>20</v>
      </c>
      <c r="I92" s="17">
        <v>20</v>
      </c>
      <c r="J92" s="17">
        <v>23</v>
      </c>
      <c r="K92" s="17">
        <v>22</v>
      </c>
      <c r="L92" s="17">
        <v>22</v>
      </c>
      <c r="M92" s="17">
        <v>34</v>
      </c>
      <c r="N92" s="11"/>
      <c r="O92" s="11"/>
      <c r="P92" s="7"/>
      <c r="Q92" s="7"/>
      <c r="R92" s="38"/>
    </row>
    <row r="93" spans="1:18" x14ac:dyDescent="0.25">
      <c r="A93" s="84" t="s">
        <v>36</v>
      </c>
      <c r="B93" s="10">
        <f>+B94+B95+B96+B97+B98</f>
        <v>215</v>
      </c>
      <c r="C93" s="10">
        <f t="shared" ref="C93:M93" si="27">+C94+C95+C96+C97+C98</f>
        <v>215</v>
      </c>
      <c r="D93" s="10">
        <f t="shared" si="27"/>
        <v>217</v>
      </c>
      <c r="E93" s="10">
        <f t="shared" si="27"/>
        <v>219</v>
      </c>
      <c r="F93" s="10">
        <f t="shared" si="27"/>
        <v>218</v>
      </c>
      <c r="G93" s="10">
        <f t="shared" si="27"/>
        <v>216</v>
      </c>
      <c r="H93" s="10">
        <f t="shared" si="27"/>
        <v>219</v>
      </c>
      <c r="I93" s="10">
        <f t="shared" si="27"/>
        <v>220</v>
      </c>
      <c r="J93" s="10">
        <f t="shared" si="27"/>
        <v>221</v>
      </c>
      <c r="K93" s="10">
        <f t="shared" si="27"/>
        <v>224</v>
      </c>
      <c r="L93" s="10">
        <f t="shared" si="27"/>
        <v>223</v>
      </c>
      <c r="M93" s="10">
        <f t="shared" si="27"/>
        <v>229</v>
      </c>
      <c r="N93" s="48"/>
      <c r="O93" s="48"/>
      <c r="P93" s="42"/>
      <c r="Q93" s="42"/>
      <c r="R93" s="49"/>
    </row>
    <row r="94" spans="1:18" x14ac:dyDescent="0.25">
      <c r="A94" s="73" t="s">
        <v>136</v>
      </c>
      <c r="B94" s="17">
        <v>209</v>
      </c>
      <c r="C94" s="17">
        <v>209</v>
      </c>
      <c r="D94" s="17">
        <v>210</v>
      </c>
      <c r="E94" s="17">
        <v>200</v>
      </c>
      <c r="F94" s="17">
        <v>200</v>
      </c>
      <c r="G94" s="17">
        <v>198</v>
      </c>
      <c r="H94" s="17">
        <v>200</v>
      </c>
      <c r="I94" s="17">
        <v>201</v>
      </c>
      <c r="J94" s="17">
        <v>202</v>
      </c>
      <c r="K94" s="17">
        <v>204</v>
      </c>
      <c r="L94" s="17">
        <v>203</v>
      </c>
      <c r="M94" s="17">
        <v>209</v>
      </c>
      <c r="N94" s="11"/>
      <c r="O94" s="11"/>
      <c r="P94" s="7"/>
      <c r="Q94" s="7"/>
      <c r="R94" s="38"/>
    </row>
    <row r="95" spans="1:18" x14ac:dyDescent="0.25">
      <c r="A95" s="71" t="s">
        <v>137</v>
      </c>
      <c r="B95" s="17">
        <v>4</v>
      </c>
      <c r="C95" s="17">
        <v>4</v>
      </c>
      <c r="D95" s="17">
        <v>5</v>
      </c>
      <c r="E95" s="17">
        <v>8</v>
      </c>
      <c r="F95" s="17">
        <v>7</v>
      </c>
      <c r="G95" s="17">
        <v>7</v>
      </c>
      <c r="H95" s="17">
        <v>8</v>
      </c>
      <c r="I95" s="17">
        <v>8</v>
      </c>
      <c r="J95" s="17">
        <v>8</v>
      </c>
      <c r="K95" s="17">
        <v>8</v>
      </c>
      <c r="L95" s="17">
        <v>8</v>
      </c>
      <c r="M95" s="17">
        <v>8</v>
      </c>
      <c r="N95" s="11"/>
      <c r="O95" s="11"/>
      <c r="P95" s="7"/>
      <c r="Q95" s="7"/>
      <c r="R95" s="38"/>
    </row>
    <row r="96" spans="1:18" x14ac:dyDescent="0.25">
      <c r="A96" s="73" t="s">
        <v>138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1"/>
      <c r="O96" s="11"/>
      <c r="P96" s="7"/>
      <c r="Q96" s="7"/>
      <c r="R96" s="38"/>
    </row>
    <row r="97" spans="1:18" x14ac:dyDescent="0.25">
      <c r="A97" s="73" t="s">
        <v>139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1"/>
      <c r="O97" s="11"/>
      <c r="P97" s="7"/>
      <c r="Q97" s="7"/>
      <c r="R97" s="38"/>
    </row>
    <row r="98" spans="1:18" x14ac:dyDescent="0.25">
      <c r="A98" s="73" t="s">
        <v>140</v>
      </c>
      <c r="B98" s="17">
        <v>2</v>
      </c>
      <c r="C98" s="17">
        <v>2</v>
      </c>
      <c r="D98" s="17">
        <v>2</v>
      </c>
      <c r="E98" s="17">
        <v>11</v>
      </c>
      <c r="F98" s="17">
        <v>11</v>
      </c>
      <c r="G98" s="17">
        <v>11</v>
      </c>
      <c r="H98" s="17">
        <v>11</v>
      </c>
      <c r="I98" s="17">
        <v>11</v>
      </c>
      <c r="J98" s="17">
        <v>11</v>
      </c>
      <c r="K98" s="17">
        <v>12</v>
      </c>
      <c r="L98" s="17">
        <v>12</v>
      </c>
      <c r="M98" s="17">
        <v>12</v>
      </c>
      <c r="N98" s="11"/>
      <c r="O98" s="11"/>
      <c r="P98" s="7"/>
      <c r="Q98" s="7"/>
      <c r="R98" s="38"/>
    </row>
    <row r="99" spans="1:18" ht="15.75" x14ac:dyDescent="0.25">
      <c r="A99" s="75" t="s">
        <v>79</v>
      </c>
      <c r="B99" s="18">
        <v>2962</v>
      </c>
      <c r="C99" s="18">
        <v>2963</v>
      </c>
      <c r="D99" s="18">
        <v>2973</v>
      </c>
      <c r="E99" s="18">
        <v>2980</v>
      </c>
      <c r="F99" s="18">
        <v>2997</v>
      </c>
      <c r="G99" s="18">
        <v>3017</v>
      </c>
      <c r="H99" s="18">
        <v>3027</v>
      </c>
      <c r="I99" s="18">
        <v>3031</v>
      </c>
      <c r="J99" s="18">
        <v>3043</v>
      </c>
      <c r="K99" s="18">
        <v>3056</v>
      </c>
      <c r="L99" s="18">
        <v>3057</v>
      </c>
      <c r="M99" s="18">
        <v>3067</v>
      </c>
      <c r="N99" s="47"/>
      <c r="O99" s="47"/>
      <c r="P99" s="41"/>
      <c r="Q99" s="41"/>
      <c r="R99" s="43"/>
    </row>
    <row r="100" spans="1:18" x14ac:dyDescent="0.25">
      <c r="A100" s="81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8"/>
    </row>
    <row r="101" spans="1:18" ht="15.75" x14ac:dyDescent="0.25">
      <c r="A101" s="85" t="s">
        <v>37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38"/>
    </row>
    <row r="102" spans="1:18" ht="15.75" x14ac:dyDescent="0.25">
      <c r="A102" s="75" t="s">
        <v>38</v>
      </c>
      <c r="B102" s="5">
        <f>+B103+B107+B108</f>
        <v>9498987.290000001</v>
      </c>
      <c r="C102" s="5">
        <f t="shared" ref="C102:M102" si="28">+C103+C107+C108</f>
        <v>9469102.0700000003</v>
      </c>
      <c r="D102" s="5">
        <f t="shared" si="28"/>
        <v>9606704.2100000009</v>
      </c>
      <c r="E102" s="5">
        <f t="shared" si="28"/>
        <v>9839819.3599999994</v>
      </c>
      <c r="F102" s="5">
        <f t="shared" si="28"/>
        <v>9954255.7700000014</v>
      </c>
      <c r="G102" s="5">
        <f t="shared" si="28"/>
        <v>9593101.0700000003</v>
      </c>
      <c r="H102" s="5">
        <f t="shared" si="28"/>
        <v>9830284.4299999997</v>
      </c>
      <c r="I102" s="5">
        <f t="shared" si="28"/>
        <v>9924348.3600000013</v>
      </c>
      <c r="J102" s="5">
        <f t="shared" si="28"/>
        <v>9816134.6300000008</v>
      </c>
      <c r="K102" s="5">
        <f t="shared" si="28"/>
        <v>8152269.1300000008</v>
      </c>
      <c r="L102" s="5">
        <f t="shared" si="28"/>
        <v>7894417.2599999998</v>
      </c>
      <c r="M102" s="5">
        <f t="shared" si="28"/>
        <v>7586971.4200000009</v>
      </c>
      <c r="N102" s="41"/>
      <c r="O102" s="41"/>
      <c r="P102" s="41"/>
      <c r="Q102" s="41"/>
      <c r="R102" s="43"/>
    </row>
    <row r="103" spans="1:18" x14ac:dyDescent="0.25">
      <c r="A103" s="74" t="s">
        <v>39</v>
      </c>
      <c r="B103" s="3">
        <f>+B104+B105+B106</f>
        <v>6609852.1300000008</v>
      </c>
      <c r="C103" s="3">
        <f t="shared" ref="C103:M103" si="29">+C104+C105+C106</f>
        <v>6581000.6699999999</v>
      </c>
      <c r="D103" s="3">
        <f t="shared" si="29"/>
        <v>6699666.3799999999</v>
      </c>
      <c r="E103" s="3">
        <f t="shared" si="29"/>
        <v>6799208.0800000001</v>
      </c>
      <c r="F103" s="3">
        <f t="shared" si="29"/>
        <v>6895356.3000000007</v>
      </c>
      <c r="G103" s="3">
        <f t="shared" si="29"/>
        <v>6526330.2400000002</v>
      </c>
      <c r="H103" s="3">
        <f t="shared" si="29"/>
        <v>6783441.9500000002</v>
      </c>
      <c r="I103" s="3">
        <f t="shared" si="29"/>
        <v>6886752.3800000008</v>
      </c>
      <c r="J103" s="3">
        <f t="shared" si="29"/>
        <v>6718310.46</v>
      </c>
      <c r="K103" s="3">
        <f t="shared" si="29"/>
        <v>5032162.13</v>
      </c>
      <c r="L103" s="3">
        <f t="shared" si="29"/>
        <v>4773908.71</v>
      </c>
      <c r="M103" s="3">
        <f t="shared" si="29"/>
        <v>4420530.6800000006</v>
      </c>
      <c r="N103" s="7"/>
      <c r="O103" s="7"/>
      <c r="P103" s="7"/>
      <c r="Q103" s="7"/>
      <c r="R103" s="38"/>
    </row>
    <row r="104" spans="1:18" x14ac:dyDescent="0.25">
      <c r="A104" s="73" t="s">
        <v>141</v>
      </c>
      <c r="B104" s="14">
        <v>6435611.9800000004</v>
      </c>
      <c r="C104" s="14">
        <v>6406760.5199999996</v>
      </c>
      <c r="D104" s="14">
        <v>6516550.7599999998</v>
      </c>
      <c r="E104" s="14">
        <v>6604077.46</v>
      </c>
      <c r="F104" s="14">
        <v>6687192.8200000003</v>
      </c>
      <c r="G104" s="14">
        <v>6338556.4000000004</v>
      </c>
      <c r="H104" s="14">
        <v>6631514.7300000004</v>
      </c>
      <c r="I104" s="14">
        <v>6732756.9800000004</v>
      </c>
      <c r="J104" s="14">
        <v>6537569.2400000002</v>
      </c>
      <c r="K104" s="14">
        <v>4815492.12</v>
      </c>
      <c r="L104" s="14">
        <v>4555449.8</v>
      </c>
      <c r="M104" s="14">
        <v>4205486.6500000004</v>
      </c>
      <c r="N104" s="7"/>
      <c r="O104" s="7"/>
      <c r="P104" s="7"/>
      <c r="Q104" s="7"/>
      <c r="R104" s="38"/>
    </row>
    <row r="105" spans="1:18" x14ac:dyDescent="0.25">
      <c r="A105" s="73" t="s">
        <v>142</v>
      </c>
      <c r="B105" s="14">
        <v>174240.15</v>
      </c>
      <c r="C105" s="14">
        <v>174240.15</v>
      </c>
      <c r="D105" s="14">
        <v>183115.62</v>
      </c>
      <c r="E105" s="14">
        <v>195130.62</v>
      </c>
      <c r="F105" s="14">
        <v>208163.48</v>
      </c>
      <c r="G105" s="14">
        <v>187773.84</v>
      </c>
      <c r="H105" s="14">
        <v>151927.22</v>
      </c>
      <c r="I105" s="14">
        <v>153995.4</v>
      </c>
      <c r="J105" s="14">
        <v>180741.22</v>
      </c>
      <c r="K105" s="14">
        <v>216670.01</v>
      </c>
      <c r="L105" s="14">
        <v>218458.91</v>
      </c>
      <c r="M105" s="14">
        <v>215044.03</v>
      </c>
      <c r="N105" s="7"/>
      <c r="O105" s="7"/>
      <c r="P105" s="7"/>
      <c r="Q105" s="7"/>
      <c r="R105" s="38"/>
    </row>
    <row r="106" spans="1:18" x14ac:dyDescent="0.25">
      <c r="A106" s="73" t="s">
        <v>143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/>
      <c r="N106" s="7"/>
      <c r="O106" s="7"/>
      <c r="P106" s="7"/>
      <c r="Q106" s="7"/>
      <c r="R106" s="38"/>
    </row>
    <row r="107" spans="1:18" x14ac:dyDescent="0.25">
      <c r="A107" s="74" t="s">
        <v>144</v>
      </c>
      <c r="B107" s="14">
        <v>1181835.8</v>
      </c>
      <c r="C107" s="14">
        <v>1181835.8</v>
      </c>
      <c r="D107" s="14">
        <v>1189783.45</v>
      </c>
      <c r="E107" s="14">
        <v>1198166.22</v>
      </c>
      <c r="F107" s="14">
        <v>1208339.98</v>
      </c>
      <c r="G107" s="14">
        <v>1209455.28</v>
      </c>
      <c r="H107" s="14">
        <v>1217960.96</v>
      </c>
      <c r="I107" s="14">
        <v>1216805.75</v>
      </c>
      <c r="J107" s="14">
        <v>1231580.57</v>
      </c>
      <c r="K107" s="14">
        <v>1241918.69</v>
      </c>
      <c r="L107" s="14">
        <v>1241228.26</v>
      </c>
      <c r="M107" s="14">
        <v>1267687.6100000001</v>
      </c>
      <c r="N107" s="7"/>
      <c r="O107" s="7"/>
      <c r="P107" s="7"/>
      <c r="Q107" s="7"/>
      <c r="R107" s="38"/>
    </row>
    <row r="108" spans="1:18" x14ac:dyDescent="0.25">
      <c r="A108" s="74" t="s">
        <v>145</v>
      </c>
      <c r="B108" s="14">
        <v>1707299.36</v>
      </c>
      <c r="C108" s="14">
        <v>1706265.6000000001</v>
      </c>
      <c r="D108" s="14">
        <v>1717254.38</v>
      </c>
      <c r="E108" s="14">
        <v>1842445.06</v>
      </c>
      <c r="F108" s="14">
        <v>1850559.49</v>
      </c>
      <c r="G108" s="14">
        <v>1857315.55</v>
      </c>
      <c r="H108" s="14">
        <v>1828881.52</v>
      </c>
      <c r="I108" s="14">
        <v>1820790.23</v>
      </c>
      <c r="J108" s="14">
        <v>1866243.6</v>
      </c>
      <c r="K108" s="14">
        <v>1878188.31</v>
      </c>
      <c r="L108" s="14">
        <v>1879280.29</v>
      </c>
      <c r="M108" s="14">
        <v>1898753.13</v>
      </c>
      <c r="N108" s="7"/>
      <c r="O108" s="7"/>
      <c r="P108" s="7"/>
      <c r="Q108" s="7"/>
      <c r="R108" s="38"/>
    </row>
    <row r="109" spans="1:18" x14ac:dyDescent="0.25">
      <c r="A109" s="7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38"/>
    </row>
    <row r="110" spans="1:18" ht="15.75" x14ac:dyDescent="0.25">
      <c r="A110" s="86" t="s">
        <v>93</v>
      </c>
      <c r="B110" s="26">
        <f>+B111+B112+B113+B114</f>
        <v>1515</v>
      </c>
      <c r="C110" s="26">
        <f t="shared" ref="C110:M110" si="30">+C111+C112+C113+C114</f>
        <v>1461</v>
      </c>
      <c r="D110" s="26">
        <f t="shared" si="30"/>
        <v>1503</v>
      </c>
      <c r="E110" s="26">
        <f t="shared" si="30"/>
        <v>1540</v>
      </c>
      <c r="F110" s="26">
        <f t="shared" si="30"/>
        <v>1529</v>
      </c>
      <c r="G110" s="26">
        <f t="shared" si="30"/>
        <v>1383</v>
      </c>
      <c r="H110" s="26">
        <f t="shared" si="30"/>
        <v>1293</v>
      </c>
      <c r="I110" s="26">
        <f t="shared" si="30"/>
        <v>1402</v>
      </c>
      <c r="J110" s="26">
        <f t="shared" si="30"/>
        <v>1379</v>
      </c>
      <c r="K110" s="26">
        <f t="shared" si="30"/>
        <v>1254</v>
      </c>
      <c r="L110" s="26">
        <f t="shared" si="30"/>
        <v>1174</v>
      </c>
      <c r="M110" s="26">
        <f t="shared" si="30"/>
        <v>1238</v>
      </c>
      <c r="N110" s="7"/>
      <c r="O110" s="7"/>
      <c r="P110" s="7"/>
      <c r="Q110" s="7"/>
      <c r="R110" s="38"/>
    </row>
    <row r="111" spans="1:18" x14ac:dyDescent="0.25">
      <c r="A111" s="74" t="s">
        <v>90</v>
      </c>
      <c r="B111" s="17">
        <v>553</v>
      </c>
      <c r="C111" s="17">
        <v>435</v>
      </c>
      <c r="D111" s="17">
        <v>465</v>
      </c>
      <c r="E111" s="17">
        <v>490</v>
      </c>
      <c r="F111" s="17">
        <v>437</v>
      </c>
      <c r="G111" s="17">
        <v>408</v>
      </c>
      <c r="H111" s="17">
        <v>395</v>
      </c>
      <c r="I111" s="17">
        <v>468</v>
      </c>
      <c r="J111" s="17">
        <v>506</v>
      </c>
      <c r="K111" s="17">
        <v>524</v>
      </c>
      <c r="L111" s="17">
        <v>485</v>
      </c>
      <c r="M111" s="17">
        <v>540</v>
      </c>
      <c r="N111" s="11"/>
      <c r="O111" s="11"/>
      <c r="P111" s="11"/>
      <c r="Q111" s="7"/>
      <c r="R111" s="38"/>
    </row>
    <row r="112" spans="1:18" x14ac:dyDescent="0.25">
      <c r="A112" s="74" t="s">
        <v>89</v>
      </c>
      <c r="B112" s="17">
        <f>124+230</f>
        <v>354</v>
      </c>
      <c r="C112" s="17">
        <f>144+233</f>
        <v>377</v>
      </c>
      <c r="D112" s="17">
        <v>360</v>
      </c>
      <c r="E112" s="17">
        <v>339</v>
      </c>
      <c r="F112" s="17">
        <f>182+176</f>
        <v>358</v>
      </c>
      <c r="G112" s="17">
        <f>153+188</f>
        <v>341</v>
      </c>
      <c r="H112" s="17">
        <f>151+173</f>
        <v>324</v>
      </c>
      <c r="I112" s="17">
        <v>347</v>
      </c>
      <c r="J112" s="17">
        <v>260</v>
      </c>
      <c r="K112" s="17">
        <v>282</v>
      </c>
      <c r="L112" s="17">
        <v>299</v>
      </c>
      <c r="M112" s="17">
        <v>323</v>
      </c>
      <c r="N112" s="11"/>
      <c r="O112" s="11"/>
      <c r="P112" s="11"/>
      <c r="Q112" s="7"/>
      <c r="R112" s="38"/>
    </row>
    <row r="113" spans="1:18" x14ac:dyDescent="0.25">
      <c r="A113" s="74" t="s">
        <v>91</v>
      </c>
      <c r="B113" s="17">
        <v>107</v>
      </c>
      <c r="C113" s="17">
        <v>128</v>
      </c>
      <c r="D113" s="17">
        <v>154</v>
      </c>
      <c r="E113" s="17">
        <v>173</v>
      </c>
      <c r="F113" s="17">
        <v>176</v>
      </c>
      <c r="G113" s="17">
        <v>119</v>
      </c>
      <c r="H113" s="17">
        <v>92</v>
      </c>
      <c r="I113" s="17">
        <v>103</v>
      </c>
      <c r="J113" s="17">
        <v>160</v>
      </c>
      <c r="K113" s="17">
        <v>126</v>
      </c>
      <c r="L113" s="17">
        <v>114</v>
      </c>
      <c r="M113" s="17">
        <v>121</v>
      </c>
      <c r="N113" s="11"/>
      <c r="O113" s="11"/>
      <c r="P113" s="11"/>
      <c r="Q113" s="7"/>
      <c r="R113" s="38"/>
    </row>
    <row r="114" spans="1:18" x14ac:dyDescent="0.25">
      <c r="A114" s="74" t="s">
        <v>92</v>
      </c>
      <c r="B114" s="17">
        <v>501</v>
      </c>
      <c r="C114" s="17">
        <v>521</v>
      </c>
      <c r="D114" s="17">
        <v>524</v>
      </c>
      <c r="E114" s="17">
        <v>538</v>
      </c>
      <c r="F114" s="17">
        <v>558</v>
      </c>
      <c r="G114" s="17">
        <v>515</v>
      </c>
      <c r="H114" s="17">
        <v>482</v>
      </c>
      <c r="I114" s="17">
        <v>484</v>
      </c>
      <c r="J114" s="17">
        <v>453</v>
      </c>
      <c r="K114" s="17">
        <v>322</v>
      </c>
      <c r="L114" s="17">
        <v>276</v>
      </c>
      <c r="M114" s="17">
        <v>254</v>
      </c>
      <c r="N114" s="11"/>
      <c r="O114" s="11"/>
      <c r="P114" s="11"/>
      <c r="Q114" s="7"/>
      <c r="R114" s="38"/>
    </row>
    <row r="115" spans="1:18" x14ac:dyDescent="0.25">
      <c r="A115" s="7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38"/>
    </row>
    <row r="116" spans="1:18" ht="15.75" x14ac:dyDescent="0.25">
      <c r="A116" s="86" t="s">
        <v>98</v>
      </c>
      <c r="B116" s="26">
        <f>SUM(B117:B120)</f>
        <v>2855</v>
      </c>
      <c r="C116" s="26">
        <f t="shared" ref="C116:M116" si="31">SUM(C117:C120)</f>
        <v>1635</v>
      </c>
      <c r="D116" s="26">
        <f t="shared" si="31"/>
        <v>1451</v>
      </c>
      <c r="E116" s="26">
        <f t="shared" si="31"/>
        <v>2219</v>
      </c>
      <c r="F116" s="26">
        <f t="shared" si="31"/>
        <v>1371</v>
      </c>
      <c r="G116" s="26">
        <f t="shared" si="31"/>
        <v>1556</v>
      </c>
      <c r="H116" s="26">
        <f t="shared" si="31"/>
        <v>1317</v>
      </c>
      <c r="I116" s="26">
        <f t="shared" si="31"/>
        <v>879</v>
      </c>
      <c r="J116" s="26">
        <f t="shared" si="31"/>
        <v>1443</v>
      </c>
      <c r="K116" s="26">
        <f t="shared" si="31"/>
        <v>1489</v>
      </c>
      <c r="L116" s="26">
        <f t="shared" si="31"/>
        <v>1581</v>
      </c>
      <c r="M116" s="26">
        <f t="shared" si="31"/>
        <v>1425</v>
      </c>
      <c r="N116" s="7"/>
      <c r="O116" s="7"/>
      <c r="P116" s="7"/>
      <c r="Q116" s="7"/>
      <c r="R116" s="38"/>
    </row>
    <row r="117" spans="1:18" x14ac:dyDescent="0.25">
      <c r="A117" s="74" t="s">
        <v>94</v>
      </c>
      <c r="B117" s="14">
        <v>570</v>
      </c>
      <c r="C117" s="14">
        <v>278</v>
      </c>
      <c r="D117" s="14">
        <v>241</v>
      </c>
      <c r="E117" s="14">
        <v>371</v>
      </c>
      <c r="F117" s="14">
        <v>211</v>
      </c>
      <c r="G117" s="14">
        <v>232</v>
      </c>
      <c r="H117" s="14">
        <v>243</v>
      </c>
      <c r="I117" s="14">
        <v>152</v>
      </c>
      <c r="J117" s="14">
        <v>239</v>
      </c>
      <c r="K117" s="14">
        <v>258</v>
      </c>
      <c r="L117" s="14">
        <v>279</v>
      </c>
      <c r="M117" s="14">
        <v>224</v>
      </c>
      <c r="N117" s="7"/>
      <c r="O117" s="7"/>
      <c r="P117" s="7"/>
      <c r="Q117" s="7"/>
      <c r="R117" s="38"/>
    </row>
    <row r="118" spans="1:18" x14ac:dyDescent="0.25">
      <c r="A118" s="74" t="s">
        <v>95</v>
      </c>
      <c r="B118" s="14">
        <v>1370</v>
      </c>
      <c r="C118" s="14">
        <v>895</v>
      </c>
      <c r="D118" s="14">
        <v>654</v>
      </c>
      <c r="E118" s="14">
        <v>936</v>
      </c>
      <c r="F118" s="14">
        <v>596</v>
      </c>
      <c r="G118" s="14">
        <v>632</v>
      </c>
      <c r="H118" s="14">
        <v>530</v>
      </c>
      <c r="I118" s="14">
        <v>339</v>
      </c>
      <c r="J118" s="14">
        <v>596</v>
      </c>
      <c r="K118" s="14">
        <v>657</v>
      </c>
      <c r="L118" s="14">
        <v>767</v>
      </c>
      <c r="M118" s="14">
        <v>711</v>
      </c>
      <c r="N118" s="7"/>
      <c r="O118" s="7"/>
      <c r="P118" s="7"/>
      <c r="Q118" s="7"/>
      <c r="R118" s="38"/>
    </row>
    <row r="119" spans="1:18" x14ac:dyDescent="0.25">
      <c r="A119" s="74" t="s">
        <v>96</v>
      </c>
      <c r="B119" s="14">
        <v>577</v>
      </c>
      <c r="C119" s="14">
        <v>289</v>
      </c>
      <c r="D119" s="14">
        <v>333</v>
      </c>
      <c r="E119" s="14">
        <v>529</v>
      </c>
      <c r="F119" s="14">
        <v>317</v>
      </c>
      <c r="G119" s="14">
        <v>371</v>
      </c>
      <c r="H119" s="14">
        <v>262</v>
      </c>
      <c r="I119" s="14">
        <v>216</v>
      </c>
      <c r="J119" s="14">
        <v>338</v>
      </c>
      <c r="K119" s="14">
        <v>334</v>
      </c>
      <c r="L119" s="14">
        <v>318</v>
      </c>
      <c r="M119" s="14">
        <v>284</v>
      </c>
      <c r="N119" s="7"/>
      <c r="O119" s="7"/>
      <c r="P119" s="7"/>
      <c r="Q119" s="7"/>
      <c r="R119" s="38"/>
    </row>
    <row r="120" spans="1:18" x14ac:dyDescent="0.25">
      <c r="A120" s="74" t="s">
        <v>97</v>
      </c>
      <c r="B120" s="14">
        <v>338</v>
      </c>
      <c r="C120" s="14">
        <v>173</v>
      </c>
      <c r="D120" s="14">
        <v>223</v>
      </c>
      <c r="E120" s="14">
        <v>383</v>
      </c>
      <c r="F120" s="14">
        <v>247</v>
      </c>
      <c r="G120" s="14">
        <v>321</v>
      </c>
      <c r="H120" s="14">
        <v>282</v>
      </c>
      <c r="I120" s="14">
        <v>172</v>
      </c>
      <c r="J120" s="14">
        <v>270</v>
      </c>
      <c r="K120" s="14">
        <v>240</v>
      </c>
      <c r="L120" s="14">
        <v>217</v>
      </c>
      <c r="M120" s="14">
        <v>206</v>
      </c>
      <c r="N120" s="7"/>
      <c r="O120" s="7"/>
      <c r="P120" s="7"/>
      <c r="Q120" s="7"/>
      <c r="R120" s="38"/>
    </row>
    <row r="121" spans="1:18" x14ac:dyDescent="0.25">
      <c r="A121" s="81"/>
      <c r="B121" s="1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38"/>
    </row>
    <row r="122" spans="1:18" x14ac:dyDescent="0.25">
      <c r="A122" s="87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7"/>
      <c r="O122" s="7"/>
      <c r="P122" s="7"/>
      <c r="Q122" s="7"/>
      <c r="R122" s="38"/>
    </row>
    <row r="123" spans="1:18" x14ac:dyDescent="0.25">
      <c r="A123" s="74" t="s">
        <v>99</v>
      </c>
      <c r="B123" s="14">
        <v>133.69999999999999</v>
      </c>
      <c r="C123" s="14">
        <f t="shared" ref="C123:L123" si="32">1.00725*B123</f>
        <v>134.66932499999999</v>
      </c>
      <c r="D123" s="14">
        <f t="shared" si="32"/>
        <v>135.64567760624999</v>
      </c>
      <c r="E123" s="14">
        <f t="shared" si="32"/>
        <v>136.62910876889529</v>
      </c>
      <c r="F123" s="14">
        <f t="shared" si="32"/>
        <v>137.61966980746979</v>
      </c>
      <c r="G123" s="14">
        <f t="shared" si="32"/>
        <v>138.61741241357393</v>
      </c>
      <c r="H123" s="14">
        <f t="shared" si="32"/>
        <v>139.62238865357233</v>
      </c>
      <c r="I123" s="14">
        <f t="shared" si="32"/>
        <v>140.63465097131072</v>
      </c>
      <c r="J123" s="14">
        <f t="shared" si="32"/>
        <v>141.65425219085273</v>
      </c>
      <c r="K123" s="14">
        <f t="shared" si="32"/>
        <v>142.6812455192364</v>
      </c>
      <c r="L123" s="14">
        <f t="shared" si="32"/>
        <v>143.71568454925085</v>
      </c>
      <c r="M123" s="14">
        <v>144.76</v>
      </c>
      <c r="N123" s="7"/>
      <c r="O123" s="7"/>
      <c r="P123" s="7"/>
      <c r="Q123" s="7"/>
      <c r="R123" s="38"/>
    </row>
    <row r="124" spans="1:18" x14ac:dyDescent="0.25">
      <c r="A124" s="74" t="s">
        <v>100</v>
      </c>
      <c r="B124" s="14">
        <v>193.52</v>
      </c>
      <c r="C124" s="14">
        <f t="shared" ref="C124:L125" si="33">1.00725*B124</f>
        <v>194.92302000000001</v>
      </c>
      <c r="D124" s="14">
        <f t="shared" si="33"/>
        <v>196.33621189499999</v>
      </c>
      <c r="E124" s="14">
        <f t="shared" si="33"/>
        <v>197.75964943123873</v>
      </c>
      <c r="F124" s="14">
        <f t="shared" si="33"/>
        <v>199.1934068896152</v>
      </c>
      <c r="G124" s="14">
        <f t="shared" si="33"/>
        <v>200.63755908956492</v>
      </c>
      <c r="H124" s="14">
        <f t="shared" si="33"/>
        <v>202.09218139296425</v>
      </c>
      <c r="I124" s="14">
        <f t="shared" si="33"/>
        <v>203.55734970806324</v>
      </c>
      <c r="J124" s="14">
        <f t="shared" si="33"/>
        <v>205.03314049344669</v>
      </c>
      <c r="K124" s="14">
        <f t="shared" si="33"/>
        <v>206.51963076202418</v>
      </c>
      <c r="L124" s="14">
        <f t="shared" si="33"/>
        <v>208.01689808504884</v>
      </c>
      <c r="M124" s="14">
        <v>218.54</v>
      </c>
      <c r="N124" s="7"/>
      <c r="O124" s="7"/>
      <c r="P124" s="7"/>
      <c r="Q124" s="7"/>
      <c r="R124" s="38"/>
    </row>
    <row r="125" spans="1:18" x14ac:dyDescent="0.25">
      <c r="A125" s="74" t="s">
        <v>101</v>
      </c>
      <c r="B125" s="14">
        <v>226.9</v>
      </c>
      <c r="C125" s="14">
        <f t="shared" si="33"/>
        <v>228.54502500000001</v>
      </c>
      <c r="D125" s="14">
        <f t="shared" si="33"/>
        <v>230.20197643125002</v>
      </c>
      <c r="E125" s="14">
        <f t="shared" si="33"/>
        <v>231.87094076037658</v>
      </c>
      <c r="F125" s="14">
        <f t="shared" si="33"/>
        <v>233.5520050808893</v>
      </c>
      <c r="G125" s="14">
        <f t="shared" si="33"/>
        <v>235.24525711772574</v>
      </c>
      <c r="H125" s="14">
        <f t="shared" si="33"/>
        <v>236.95078523182926</v>
      </c>
      <c r="I125" s="14">
        <f t="shared" si="33"/>
        <v>238.66867842476</v>
      </c>
      <c r="J125" s="14">
        <f t="shared" si="33"/>
        <v>240.3990263433395</v>
      </c>
      <c r="K125" s="14">
        <f t="shared" si="33"/>
        <v>242.14191928432871</v>
      </c>
      <c r="L125" s="14">
        <f t="shared" si="33"/>
        <v>243.89744819914009</v>
      </c>
      <c r="M125" s="14">
        <v>257.69</v>
      </c>
      <c r="N125" s="7"/>
      <c r="O125" s="7"/>
      <c r="P125" s="7"/>
      <c r="Q125" s="7"/>
      <c r="R125" s="38"/>
    </row>
    <row r="126" spans="1:18" x14ac:dyDescent="0.25">
      <c r="A126" s="81"/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38"/>
    </row>
    <row r="127" spans="1:18" ht="15.75" x14ac:dyDescent="0.25">
      <c r="A127" s="88" t="s">
        <v>40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41"/>
      <c r="O127" s="41"/>
      <c r="P127" s="41"/>
      <c r="Q127" s="41"/>
      <c r="R127" s="43"/>
    </row>
    <row r="128" spans="1:18" x14ac:dyDescent="0.25">
      <c r="A128" s="81" t="s">
        <v>40</v>
      </c>
      <c r="B128" s="57">
        <f>+B130/B129</f>
        <v>0.96467619848612274</v>
      </c>
      <c r="C128" s="57">
        <f t="shared" ref="C128:M128" si="34">+C130/C129</f>
        <v>0.96495654611718529</v>
      </c>
      <c r="D128" s="57">
        <f t="shared" si="34"/>
        <v>0.96944210821418564</v>
      </c>
      <c r="E128" s="57">
        <f t="shared" si="34"/>
        <v>0.97560975609756095</v>
      </c>
      <c r="F128" s="57">
        <f t="shared" si="34"/>
        <v>0.9800953181945613</v>
      </c>
      <c r="G128" s="57">
        <f t="shared" si="34"/>
        <v>0.98514157555368653</v>
      </c>
      <c r="H128" s="57">
        <f t="shared" si="34"/>
        <v>0.98906644238856178</v>
      </c>
      <c r="I128" s="57">
        <f t="shared" si="34"/>
        <v>0.98878609475749935</v>
      </c>
      <c r="J128" s="57">
        <f t="shared" si="34"/>
        <v>0.9921502663302495</v>
      </c>
      <c r="K128" s="57">
        <f t="shared" si="34"/>
        <v>0.9957947855340622</v>
      </c>
      <c r="L128" s="57">
        <f t="shared" si="34"/>
        <v>0.9963554807961873</v>
      </c>
      <c r="M128" s="57">
        <f t="shared" si="34"/>
        <v>0.99831791421362492</v>
      </c>
      <c r="N128" s="13"/>
      <c r="O128" s="13"/>
      <c r="P128" s="13"/>
      <c r="Q128" s="13"/>
      <c r="R128" s="13"/>
    </row>
    <row r="129" spans="1:18" x14ac:dyDescent="0.25">
      <c r="A129" s="81" t="s">
        <v>103</v>
      </c>
      <c r="B129" s="17">
        <v>7134</v>
      </c>
      <c r="C129" s="17">
        <v>7134</v>
      </c>
      <c r="D129" s="17">
        <v>7134</v>
      </c>
      <c r="E129" s="17">
        <v>7134</v>
      </c>
      <c r="F129" s="17">
        <v>7134</v>
      </c>
      <c r="G129" s="17">
        <v>7134</v>
      </c>
      <c r="H129" s="17">
        <v>7134</v>
      </c>
      <c r="I129" s="17">
        <v>7134</v>
      </c>
      <c r="J129" s="17">
        <v>7134</v>
      </c>
      <c r="K129" s="17">
        <v>7134</v>
      </c>
      <c r="L129" s="17">
        <v>7134</v>
      </c>
      <c r="M129" s="17">
        <v>7134</v>
      </c>
      <c r="N129" s="11"/>
      <c r="O129" s="11"/>
      <c r="P129" s="7"/>
      <c r="Q129" s="7"/>
      <c r="R129" s="38"/>
    </row>
    <row r="130" spans="1:18" x14ac:dyDescent="0.25">
      <c r="A130" s="81" t="s">
        <v>84</v>
      </c>
      <c r="B130" s="17">
        <f>3441*2</f>
        <v>6882</v>
      </c>
      <c r="C130" s="17">
        <f>3442*2</f>
        <v>6884</v>
      </c>
      <c r="D130" s="17">
        <f>3458*2</f>
        <v>6916</v>
      </c>
      <c r="E130" s="17">
        <f>3480*2</f>
        <v>6960</v>
      </c>
      <c r="F130" s="17">
        <f>3496*2</f>
        <v>6992</v>
      </c>
      <c r="G130" s="17">
        <f>3514*2</f>
        <v>7028</v>
      </c>
      <c r="H130" s="17">
        <f>3528*2</f>
        <v>7056</v>
      </c>
      <c r="I130" s="17">
        <f>3527*2</f>
        <v>7054</v>
      </c>
      <c r="J130" s="17">
        <f>3539*2</f>
        <v>7078</v>
      </c>
      <c r="K130" s="17">
        <f>3552*2</f>
        <v>7104</v>
      </c>
      <c r="L130" s="17">
        <f>3554*2</f>
        <v>7108</v>
      </c>
      <c r="M130" s="17">
        <f>3561*2</f>
        <v>7122</v>
      </c>
      <c r="N130" s="11"/>
      <c r="O130" s="11"/>
      <c r="P130" s="7"/>
      <c r="Q130" s="7"/>
      <c r="R130" s="38"/>
    </row>
    <row r="131" spans="1:18" x14ac:dyDescent="0.25">
      <c r="A131" s="81" t="s">
        <v>85</v>
      </c>
      <c r="B131" s="17">
        <f>2962*2</f>
        <v>5924</v>
      </c>
      <c r="C131" s="17">
        <f>2963*2</f>
        <v>5926</v>
      </c>
      <c r="D131" s="17">
        <f>D99*2</f>
        <v>5946</v>
      </c>
      <c r="E131" s="17">
        <f t="shared" ref="E131:F131" si="35">E99*2</f>
        <v>5960</v>
      </c>
      <c r="F131" s="17">
        <f t="shared" si="35"/>
        <v>5994</v>
      </c>
      <c r="G131" s="17">
        <f>3017*2</f>
        <v>6034</v>
      </c>
      <c r="H131" s="17">
        <f>3027*2</f>
        <v>6054</v>
      </c>
      <c r="I131" s="17">
        <f>3031*2</f>
        <v>6062</v>
      </c>
      <c r="J131" s="17">
        <f>3043*2</f>
        <v>6086</v>
      </c>
      <c r="K131" s="17">
        <f>3056*2</f>
        <v>6112</v>
      </c>
      <c r="L131" s="17">
        <f>3058*2</f>
        <v>6116</v>
      </c>
      <c r="M131" s="17">
        <f>3067*2</f>
        <v>6134</v>
      </c>
      <c r="N131" s="11"/>
      <c r="O131" s="11"/>
      <c r="P131" s="7"/>
      <c r="Q131" s="7"/>
      <c r="R131" s="38"/>
    </row>
    <row r="132" spans="1:18" x14ac:dyDescent="0.25">
      <c r="A132" s="81" t="s">
        <v>86</v>
      </c>
      <c r="B132" s="17">
        <v>1816</v>
      </c>
      <c r="C132" s="17">
        <v>1871</v>
      </c>
      <c r="D132" s="17">
        <v>1846</v>
      </c>
      <c r="E132" s="17">
        <v>1811</v>
      </c>
      <c r="F132" s="17">
        <v>1844</v>
      </c>
      <c r="G132" s="17">
        <v>2004</v>
      </c>
      <c r="H132" s="17">
        <v>2107</v>
      </c>
      <c r="I132" s="17">
        <v>2004</v>
      </c>
      <c r="J132" s="17">
        <v>2037</v>
      </c>
      <c r="K132" s="17">
        <v>2174</v>
      </c>
      <c r="L132" s="17">
        <v>2165</v>
      </c>
      <c r="M132" s="17">
        <v>2204</v>
      </c>
      <c r="N132" s="11"/>
      <c r="O132" s="11"/>
      <c r="P132" s="7"/>
      <c r="Q132" s="7"/>
      <c r="R132" s="38"/>
    </row>
    <row r="133" spans="1:18" x14ac:dyDescent="0.25">
      <c r="A133" s="81" t="s">
        <v>87</v>
      </c>
      <c r="B133" s="17">
        <v>491</v>
      </c>
      <c r="C133" s="17">
        <v>494</v>
      </c>
      <c r="D133" s="17">
        <v>504</v>
      </c>
      <c r="E133" s="17">
        <v>512</v>
      </c>
      <c r="F133" s="17">
        <v>519</v>
      </c>
      <c r="G133" s="17">
        <v>523</v>
      </c>
      <c r="H133" s="17">
        <v>526</v>
      </c>
      <c r="I133" s="17">
        <v>533</v>
      </c>
      <c r="J133" s="17">
        <v>536</v>
      </c>
      <c r="K133" s="17">
        <v>538</v>
      </c>
      <c r="L133" s="17">
        <v>539</v>
      </c>
      <c r="M133" s="17">
        <v>548</v>
      </c>
      <c r="N133" s="11"/>
      <c r="O133" s="11"/>
      <c r="P133" s="7"/>
      <c r="Q133" s="7"/>
      <c r="R133" s="38"/>
    </row>
    <row r="134" spans="1:18" x14ac:dyDescent="0.25">
      <c r="A134" s="81" t="s">
        <v>41</v>
      </c>
      <c r="B134" s="17">
        <v>30</v>
      </c>
      <c r="C134" s="17">
        <v>28</v>
      </c>
      <c r="D134" s="17">
        <v>27</v>
      </c>
      <c r="E134" s="17">
        <v>31</v>
      </c>
      <c r="F134" s="17">
        <v>33</v>
      </c>
      <c r="G134" s="17">
        <v>36</v>
      </c>
      <c r="H134" s="17">
        <v>38</v>
      </c>
      <c r="I134" s="17">
        <v>35</v>
      </c>
      <c r="J134" s="17">
        <v>38</v>
      </c>
      <c r="K134" s="17">
        <v>37</v>
      </c>
      <c r="L134" s="17">
        <v>38</v>
      </c>
      <c r="M134" s="17">
        <v>38</v>
      </c>
      <c r="N134" s="11"/>
      <c r="O134" s="11"/>
      <c r="P134" s="7"/>
      <c r="Q134" s="7"/>
      <c r="R134" s="38"/>
    </row>
    <row r="135" spans="1:18" x14ac:dyDescent="0.25">
      <c r="A135" s="81" t="s">
        <v>42</v>
      </c>
      <c r="B135" s="17">
        <v>37.5</v>
      </c>
      <c r="C135" s="17">
        <v>36</v>
      </c>
      <c r="D135" s="17">
        <v>35</v>
      </c>
      <c r="E135" s="17">
        <v>37</v>
      </c>
      <c r="F135" s="17">
        <v>34</v>
      </c>
      <c r="G135" s="17">
        <v>39</v>
      </c>
      <c r="H135" s="17">
        <v>42</v>
      </c>
      <c r="I135" s="17">
        <v>37</v>
      </c>
      <c r="J135" s="17">
        <v>41.5</v>
      </c>
      <c r="K135" s="17">
        <v>40</v>
      </c>
      <c r="L135" s="17">
        <v>41</v>
      </c>
      <c r="M135" s="17">
        <v>41</v>
      </c>
      <c r="N135" s="11"/>
      <c r="O135" s="11"/>
      <c r="P135" s="7"/>
      <c r="Q135" s="7"/>
      <c r="R135" s="38"/>
    </row>
    <row r="136" spans="1:18" x14ac:dyDescent="0.25">
      <c r="A136" s="81" t="s">
        <v>43</v>
      </c>
      <c r="B136" s="17">
        <v>45</v>
      </c>
      <c r="C136" s="17">
        <v>40</v>
      </c>
      <c r="D136" s="17">
        <v>41</v>
      </c>
      <c r="E136" s="17">
        <v>44</v>
      </c>
      <c r="F136" s="17">
        <v>38</v>
      </c>
      <c r="G136" s="17">
        <v>46</v>
      </c>
      <c r="H136" s="17">
        <v>45</v>
      </c>
      <c r="I136" s="17">
        <v>38</v>
      </c>
      <c r="J136" s="17">
        <v>45</v>
      </c>
      <c r="K136" s="17">
        <v>44</v>
      </c>
      <c r="L136" s="17">
        <v>45</v>
      </c>
      <c r="M136" s="17">
        <v>45</v>
      </c>
      <c r="N136" s="11"/>
      <c r="O136" s="11"/>
      <c r="P136" s="7"/>
      <c r="Q136" s="7"/>
      <c r="R136" s="38"/>
    </row>
    <row r="137" spans="1:18" x14ac:dyDescent="0.25">
      <c r="A137" s="81" t="s">
        <v>44</v>
      </c>
      <c r="B137" s="19">
        <v>0</v>
      </c>
      <c r="C137" s="19">
        <v>0</v>
      </c>
      <c r="D137" s="17">
        <v>0</v>
      </c>
      <c r="E137" s="17">
        <v>0</v>
      </c>
      <c r="F137" s="17">
        <v>0</v>
      </c>
      <c r="G137" s="17">
        <v>0</v>
      </c>
      <c r="H137" s="19">
        <v>0</v>
      </c>
      <c r="I137" s="14">
        <v>0</v>
      </c>
      <c r="J137" s="14">
        <v>0</v>
      </c>
      <c r="K137" s="14">
        <v>0</v>
      </c>
      <c r="L137" s="14">
        <v>0</v>
      </c>
      <c r="M137" s="14"/>
      <c r="N137" s="11"/>
      <c r="O137" s="11"/>
      <c r="P137" s="7"/>
      <c r="Q137" s="7"/>
      <c r="R137" s="38"/>
    </row>
    <row r="138" spans="1:18" x14ac:dyDescent="0.25">
      <c r="A138" s="81" t="s">
        <v>45</v>
      </c>
      <c r="B138" s="14">
        <v>32.36</v>
      </c>
      <c r="C138" s="14">
        <v>32.36</v>
      </c>
      <c r="D138" s="17">
        <v>32.36</v>
      </c>
      <c r="E138" s="17">
        <v>32.36</v>
      </c>
      <c r="F138" s="17">
        <v>32</v>
      </c>
      <c r="G138" s="17">
        <v>32</v>
      </c>
      <c r="H138" s="17">
        <v>32</v>
      </c>
      <c r="I138" s="14">
        <v>32</v>
      </c>
      <c r="J138" s="14">
        <v>32</v>
      </c>
      <c r="K138" s="14">
        <v>32</v>
      </c>
      <c r="L138" s="14">
        <v>32</v>
      </c>
      <c r="M138" s="14">
        <v>32</v>
      </c>
      <c r="N138" s="11"/>
      <c r="O138" s="11"/>
      <c r="P138" s="7"/>
      <c r="Q138" s="7"/>
      <c r="R138" s="38"/>
    </row>
    <row r="139" spans="1:18" x14ac:dyDescent="0.25">
      <c r="A139" s="81" t="s">
        <v>46</v>
      </c>
      <c r="B139" s="17">
        <v>3205</v>
      </c>
      <c r="C139" s="17">
        <v>3211</v>
      </c>
      <c r="D139" s="17">
        <v>3220</v>
      </c>
      <c r="E139" s="17">
        <v>3242</v>
      </c>
      <c r="F139" s="17">
        <v>3477</v>
      </c>
      <c r="G139" s="17">
        <v>3497</v>
      </c>
      <c r="H139" s="17">
        <v>3509</v>
      </c>
      <c r="I139" s="17">
        <v>3527</v>
      </c>
      <c r="J139" s="17">
        <v>3524</v>
      </c>
      <c r="K139" s="17">
        <v>3314</v>
      </c>
      <c r="L139" s="17">
        <v>3316</v>
      </c>
      <c r="M139" s="17">
        <v>3332</v>
      </c>
      <c r="N139" s="11"/>
      <c r="O139" s="11"/>
      <c r="P139" s="7"/>
      <c r="Q139" s="7"/>
      <c r="R139" s="38"/>
    </row>
    <row r="140" spans="1:18" x14ac:dyDescent="0.25">
      <c r="A140" s="81" t="s">
        <v>158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/>
      <c r="N140" s="11"/>
      <c r="O140" s="11"/>
      <c r="P140" s="7"/>
      <c r="Q140" s="7"/>
      <c r="R140" s="38"/>
    </row>
    <row r="141" spans="1:18" x14ac:dyDescent="0.25">
      <c r="A141" s="81" t="s">
        <v>159</v>
      </c>
      <c r="B141" s="17">
        <v>21</v>
      </c>
      <c r="C141" s="17">
        <v>16</v>
      </c>
      <c r="D141" s="17">
        <v>11</v>
      </c>
      <c r="E141" s="17">
        <v>0</v>
      </c>
      <c r="F141" s="17">
        <v>16</v>
      </c>
      <c r="G141" s="17">
        <v>0</v>
      </c>
      <c r="H141" s="17">
        <v>1</v>
      </c>
      <c r="I141" s="17">
        <v>0</v>
      </c>
      <c r="J141" s="17">
        <v>10</v>
      </c>
      <c r="K141" s="17">
        <v>4</v>
      </c>
      <c r="L141" s="17">
        <v>7</v>
      </c>
      <c r="M141" s="17">
        <v>10</v>
      </c>
      <c r="N141" s="11"/>
      <c r="O141" s="11"/>
      <c r="P141" s="7"/>
      <c r="Q141" s="7"/>
      <c r="R141" s="38"/>
    </row>
    <row r="142" spans="1:18" x14ac:dyDescent="0.25">
      <c r="A142" s="81" t="s">
        <v>162</v>
      </c>
      <c r="B142" s="17">
        <v>0</v>
      </c>
      <c r="C142" s="17">
        <v>0</v>
      </c>
      <c r="D142" s="17">
        <v>22</v>
      </c>
      <c r="E142" s="17">
        <v>0</v>
      </c>
      <c r="F142" s="17">
        <v>4</v>
      </c>
      <c r="G142" s="17">
        <v>0</v>
      </c>
      <c r="H142" s="17">
        <v>0</v>
      </c>
      <c r="I142" s="17">
        <v>0</v>
      </c>
      <c r="J142" s="17">
        <v>2</v>
      </c>
      <c r="K142" s="17">
        <v>1</v>
      </c>
      <c r="L142" s="17">
        <v>19</v>
      </c>
      <c r="M142" s="17">
        <v>9</v>
      </c>
      <c r="N142" s="11"/>
      <c r="O142" s="11"/>
      <c r="P142" s="7"/>
      <c r="Q142" s="7"/>
      <c r="R142" s="38"/>
    </row>
    <row r="143" spans="1:18" x14ac:dyDescent="0.25">
      <c r="A143" s="81" t="s">
        <v>47</v>
      </c>
      <c r="B143" s="17">
        <v>2</v>
      </c>
      <c r="C143" s="17">
        <v>2</v>
      </c>
      <c r="D143" s="17">
        <v>2</v>
      </c>
      <c r="E143" s="17">
        <v>2</v>
      </c>
      <c r="F143" s="17">
        <v>2</v>
      </c>
      <c r="G143" s="17">
        <v>2</v>
      </c>
      <c r="H143" s="17">
        <v>2</v>
      </c>
      <c r="I143" s="17">
        <v>2</v>
      </c>
      <c r="J143" s="17">
        <v>2</v>
      </c>
      <c r="K143" s="17">
        <v>2</v>
      </c>
      <c r="L143" s="17">
        <v>2</v>
      </c>
      <c r="M143" s="17">
        <v>2</v>
      </c>
      <c r="N143" s="11"/>
      <c r="O143" s="11"/>
      <c r="P143" s="7"/>
      <c r="Q143" s="7"/>
      <c r="R143" s="38"/>
    </row>
    <row r="144" spans="1:18" x14ac:dyDescent="0.25">
      <c r="A144" s="81" t="s">
        <v>160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/>
      <c r="N144" s="11"/>
      <c r="O144" s="11"/>
      <c r="P144" s="7"/>
      <c r="Q144" s="7"/>
      <c r="R144" s="38"/>
    </row>
    <row r="145" spans="1:18" x14ac:dyDescent="0.25">
      <c r="A145" s="81" t="s">
        <v>161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/>
      <c r="N145" s="11"/>
      <c r="O145" s="11"/>
      <c r="P145" s="7"/>
      <c r="Q145" s="7"/>
      <c r="R145" s="38"/>
    </row>
    <row r="146" spans="1:18" x14ac:dyDescent="0.25">
      <c r="A146" s="81" t="s">
        <v>48</v>
      </c>
      <c r="B146" s="8">
        <f>SUM(B147:B151)</f>
        <v>2</v>
      </c>
      <c r="C146" s="8">
        <f t="shared" ref="C146:M146" si="36">SUM(C147:C151)</f>
        <v>2</v>
      </c>
      <c r="D146" s="8">
        <f t="shared" si="36"/>
        <v>2</v>
      </c>
      <c r="E146" s="8">
        <f t="shared" si="36"/>
        <v>2</v>
      </c>
      <c r="F146" s="8">
        <f t="shared" si="36"/>
        <v>2</v>
      </c>
      <c r="G146" s="8">
        <f t="shared" si="36"/>
        <v>2</v>
      </c>
      <c r="H146" s="8">
        <f t="shared" si="36"/>
        <v>2</v>
      </c>
      <c r="I146" s="8">
        <f t="shared" si="36"/>
        <v>2</v>
      </c>
      <c r="J146" s="8">
        <f t="shared" si="36"/>
        <v>2</v>
      </c>
      <c r="K146" s="8">
        <f t="shared" si="36"/>
        <v>2</v>
      </c>
      <c r="L146" s="8">
        <f t="shared" si="36"/>
        <v>2</v>
      </c>
      <c r="M146" s="8">
        <f t="shared" si="36"/>
        <v>2</v>
      </c>
      <c r="N146" s="11"/>
      <c r="O146" s="11"/>
      <c r="P146" s="7"/>
      <c r="Q146" s="7"/>
      <c r="R146" s="38"/>
    </row>
    <row r="147" spans="1:18" x14ac:dyDescent="0.25">
      <c r="A147" s="81" t="s">
        <v>49</v>
      </c>
      <c r="B147" s="17">
        <v>2</v>
      </c>
      <c r="C147" s="17">
        <v>2</v>
      </c>
      <c r="D147" s="17">
        <v>2</v>
      </c>
      <c r="E147" s="17">
        <v>2</v>
      </c>
      <c r="F147" s="17">
        <v>2</v>
      </c>
      <c r="G147" s="17">
        <v>2</v>
      </c>
      <c r="H147" s="17">
        <v>2</v>
      </c>
      <c r="I147" s="17">
        <v>2</v>
      </c>
      <c r="J147" s="17">
        <v>2</v>
      </c>
      <c r="K147" s="17">
        <v>2</v>
      </c>
      <c r="L147" s="17">
        <v>2</v>
      </c>
      <c r="M147" s="17">
        <v>2</v>
      </c>
      <c r="N147" s="11"/>
      <c r="O147" s="11"/>
      <c r="P147" s="7"/>
      <c r="Q147" s="7"/>
      <c r="R147" s="38"/>
    </row>
    <row r="148" spans="1:18" x14ac:dyDescent="0.25">
      <c r="A148" s="81" t="s">
        <v>50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/>
      <c r="N148" s="11"/>
      <c r="O148" s="11"/>
      <c r="P148" s="7"/>
      <c r="Q148" s="7"/>
      <c r="R148" s="38"/>
    </row>
    <row r="149" spans="1:18" x14ac:dyDescent="0.25">
      <c r="A149" s="81" t="s">
        <v>51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/>
      <c r="N149" s="11"/>
      <c r="O149" s="11"/>
      <c r="P149" s="7"/>
      <c r="Q149" s="7"/>
      <c r="R149" s="38"/>
    </row>
    <row r="150" spans="1:18" x14ac:dyDescent="0.25">
      <c r="A150" s="81" t="s">
        <v>52</v>
      </c>
      <c r="B150" s="18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/>
      <c r="N150" s="11"/>
      <c r="O150" s="11"/>
      <c r="P150" s="7"/>
      <c r="Q150" s="7"/>
      <c r="R150" s="38"/>
    </row>
    <row r="151" spans="1:18" x14ac:dyDescent="0.25">
      <c r="A151" s="81" t="s">
        <v>53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/>
      <c r="N151" s="11"/>
      <c r="O151" s="11"/>
      <c r="P151" s="7"/>
      <c r="Q151" s="7"/>
      <c r="R151" s="38"/>
    </row>
    <row r="152" spans="1:18" x14ac:dyDescent="0.25">
      <c r="A152" s="81" t="s">
        <v>54</v>
      </c>
      <c r="B152" s="58">
        <f t="shared" ref="B152:M152" si="37">+B171/B138</f>
        <v>0.80346106304079112</v>
      </c>
      <c r="C152" s="58">
        <f t="shared" si="37"/>
        <v>1.2360939431396787</v>
      </c>
      <c r="D152" s="58">
        <f t="shared" si="37"/>
        <v>0.5871446229913474</v>
      </c>
      <c r="E152" s="58">
        <f t="shared" si="37"/>
        <v>0.33992583436341162</v>
      </c>
      <c r="F152" s="58">
        <f t="shared" si="37"/>
        <v>0.40625</v>
      </c>
      <c r="G152" s="58">
        <f t="shared" si="37"/>
        <v>6.25E-2</v>
      </c>
      <c r="H152" s="58">
        <f t="shared" si="37"/>
        <v>0.125</v>
      </c>
      <c r="I152" s="58">
        <f t="shared" si="37"/>
        <v>0.1875</v>
      </c>
      <c r="J152" s="58">
        <f t="shared" si="37"/>
        <v>0.65625</v>
      </c>
      <c r="K152" s="58">
        <f t="shared" si="37"/>
        <v>0.46875</v>
      </c>
      <c r="L152" s="58">
        <f t="shared" si="37"/>
        <v>0.6875</v>
      </c>
      <c r="M152" s="58">
        <f t="shared" si="37"/>
        <v>0.53125</v>
      </c>
      <c r="N152" s="11"/>
      <c r="O152" s="11"/>
      <c r="P152" s="7"/>
      <c r="Q152" s="7"/>
      <c r="R152" s="38"/>
    </row>
    <row r="153" spans="1:18" x14ac:dyDescent="0.25">
      <c r="A153" s="81"/>
      <c r="B153" s="11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38"/>
    </row>
    <row r="154" spans="1:18" x14ac:dyDescent="0.25">
      <c r="A154" s="83" t="s">
        <v>55</v>
      </c>
      <c r="B154" s="11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38"/>
    </row>
    <row r="155" spans="1:18" ht="15.75" x14ac:dyDescent="0.25">
      <c r="A155" s="75" t="s">
        <v>105</v>
      </c>
      <c r="B155" s="9">
        <f>+B156+B159+B162+B165</f>
        <v>11</v>
      </c>
      <c r="C155" s="9">
        <f t="shared" ref="C155:M155" si="38">+C156+C159+C162+C165</f>
        <v>11</v>
      </c>
      <c r="D155" s="9">
        <f t="shared" si="38"/>
        <v>11</v>
      </c>
      <c r="E155" s="9">
        <f t="shared" si="38"/>
        <v>11</v>
      </c>
      <c r="F155" s="9">
        <f t="shared" si="38"/>
        <v>11</v>
      </c>
      <c r="G155" s="9">
        <f t="shared" si="38"/>
        <v>11</v>
      </c>
      <c r="H155" s="9">
        <f t="shared" si="38"/>
        <v>11</v>
      </c>
      <c r="I155" s="9">
        <f t="shared" si="38"/>
        <v>11</v>
      </c>
      <c r="J155" s="9">
        <f t="shared" si="38"/>
        <v>11</v>
      </c>
      <c r="K155" s="9">
        <f t="shared" si="38"/>
        <v>11</v>
      </c>
      <c r="L155" s="9">
        <f t="shared" si="38"/>
        <v>11</v>
      </c>
      <c r="M155" s="9">
        <f t="shared" si="38"/>
        <v>11</v>
      </c>
      <c r="N155" s="47"/>
      <c r="O155" s="47"/>
      <c r="P155" s="41"/>
      <c r="Q155" s="41"/>
      <c r="R155" s="43"/>
    </row>
    <row r="156" spans="1:18" x14ac:dyDescent="0.25">
      <c r="A156" s="73" t="s">
        <v>80</v>
      </c>
      <c r="B156" s="8">
        <f>B157+B158</f>
        <v>4</v>
      </c>
      <c r="C156" s="8">
        <f t="shared" ref="C156:M156" si="39">C157+C158</f>
        <v>4</v>
      </c>
      <c r="D156" s="8">
        <f t="shared" si="39"/>
        <v>4</v>
      </c>
      <c r="E156" s="8">
        <f t="shared" si="39"/>
        <v>4</v>
      </c>
      <c r="F156" s="8">
        <f t="shared" si="39"/>
        <v>4</v>
      </c>
      <c r="G156" s="8">
        <f t="shared" si="39"/>
        <v>4</v>
      </c>
      <c r="H156" s="8">
        <f t="shared" si="39"/>
        <v>4</v>
      </c>
      <c r="I156" s="8">
        <f t="shared" si="39"/>
        <v>4</v>
      </c>
      <c r="J156" s="8">
        <f t="shared" si="39"/>
        <v>4</v>
      </c>
      <c r="K156" s="8">
        <f t="shared" si="39"/>
        <v>4</v>
      </c>
      <c r="L156" s="8">
        <f t="shared" si="39"/>
        <v>4</v>
      </c>
      <c r="M156" s="8">
        <f t="shared" si="39"/>
        <v>4</v>
      </c>
      <c r="N156" s="11"/>
      <c r="O156" s="11"/>
      <c r="P156" s="7"/>
      <c r="Q156" s="7"/>
      <c r="R156" s="38"/>
    </row>
    <row r="157" spans="1:18" x14ac:dyDescent="0.25">
      <c r="A157" s="73" t="s">
        <v>81</v>
      </c>
      <c r="B157" s="17">
        <v>4</v>
      </c>
      <c r="C157" s="17">
        <v>4</v>
      </c>
      <c r="D157" s="17">
        <v>4</v>
      </c>
      <c r="E157" s="17">
        <v>4</v>
      </c>
      <c r="F157" s="17">
        <v>4</v>
      </c>
      <c r="G157" s="20">
        <v>4</v>
      </c>
      <c r="H157" s="17">
        <v>4</v>
      </c>
      <c r="I157" s="17">
        <v>4</v>
      </c>
      <c r="J157" s="17">
        <v>4</v>
      </c>
      <c r="K157" s="17">
        <v>4</v>
      </c>
      <c r="L157" s="17">
        <v>4</v>
      </c>
      <c r="M157" s="17">
        <v>4</v>
      </c>
      <c r="N157" s="11"/>
      <c r="O157" s="11"/>
      <c r="P157" s="7"/>
      <c r="Q157" s="7"/>
      <c r="R157" s="38"/>
    </row>
    <row r="158" spans="1:18" x14ac:dyDescent="0.25">
      <c r="A158" s="73" t="s">
        <v>82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20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/>
      <c r="N158" s="11"/>
      <c r="O158" s="11"/>
      <c r="P158" s="7"/>
      <c r="Q158" s="7"/>
      <c r="R158" s="38"/>
    </row>
    <row r="159" spans="1:18" x14ac:dyDescent="0.25">
      <c r="A159" s="73" t="s">
        <v>56</v>
      </c>
      <c r="B159" s="8">
        <f>B160+B161</f>
        <v>0</v>
      </c>
      <c r="C159" s="8">
        <f t="shared" ref="C159:M159" si="40">C160+C161</f>
        <v>0</v>
      </c>
      <c r="D159" s="8">
        <f t="shared" si="40"/>
        <v>0</v>
      </c>
      <c r="E159" s="8">
        <f t="shared" si="40"/>
        <v>0</v>
      </c>
      <c r="F159" s="8">
        <f t="shared" si="40"/>
        <v>0</v>
      </c>
      <c r="G159" s="8">
        <f t="shared" si="40"/>
        <v>0</v>
      </c>
      <c r="H159" s="8">
        <f t="shared" si="40"/>
        <v>0</v>
      </c>
      <c r="I159" s="8">
        <f t="shared" si="40"/>
        <v>0</v>
      </c>
      <c r="J159" s="8">
        <f t="shared" si="40"/>
        <v>0</v>
      </c>
      <c r="K159" s="8">
        <f t="shared" si="40"/>
        <v>0</v>
      </c>
      <c r="L159" s="8">
        <f t="shared" si="40"/>
        <v>0</v>
      </c>
      <c r="M159" s="8">
        <f t="shared" si="40"/>
        <v>0</v>
      </c>
      <c r="N159" s="11"/>
      <c r="O159" s="11"/>
      <c r="P159" s="7"/>
      <c r="Q159" s="7"/>
      <c r="R159" s="38"/>
    </row>
    <row r="160" spans="1:18" x14ac:dyDescent="0.25">
      <c r="A160" s="73" t="s">
        <v>81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/>
      <c r="N160" s="11"/>
      <c r="O160" s="11"/>
      <c r="P160" s="7"/>
      <c r="Q160" s="7"/>
      <c r="R160" s="38"/>
    </row>
    <row r="161" spans="1:18" x14ac:dyDescent="0.25">
      <c r="A161" s="73" t="s">
        <v>82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/>
      <c r="N161" s="11"/>
      <c r="O161" s="11"/>
      <c r="P161" s="7"/>
      <c r="Q161" s="7"/>
      <c r="R161" s="38"/>
    </row>
    <row r="162" spans="1:18" x14ac:dyDescent="0.25">
      <c r="A162" s="73" t="s">
        <v>57</v>
      </c>
      <c r="B162" s="8">
        <f>B163+B164</f>
        <v>6</v>
      </c>
      <c r="C162" s="8">
        <f t="shared" ref="C162:M162" si="41">C163+C164</f>
        <v>6</v>
      </c>
      <c r="D162" s="8">
        <f t="shared" si="41"/>
        <v>6</v>
      </c>
      <c r="E162" s="8">
        <f t="shared" si="41"/>
        <v>6</v>
      </c>
      <c r="F162" s="8">
        <f t="shared" si="41"/>
        <v>6</v>
      </c>
      <c r="G162" s="8">
        <f t="shared" si="41"/>
        <v>6</v>
      </c>
      <c r="H162" s="8">
        <f t="shared" si="41"/>
        <v>6</v>
      </c>
      <c r="I162" s="8">
        <f t="shared" si="41"/>
        <v>6</v>
      </c>
      <c r="J162" s="8">
        <f t="shared" si="41"/>
        <v>6</v>
      </c>
      <c r="K162" s="8">
        <f t="shared" si="41"/>
        <v>6</v>
      </c>
      <c r="L162" s="8">
        <f t="shared" si="41"/>
        <v>6</v>
      </c>
      <c r="M162" s="8">
        <f t="shared" si="41"/>
        <v>6</v>
      </c>
      <c r="N162" s="11"/>
      <c r="O162" s="11"/>
      <c r="P162" s="7"/>
      <c r="Q162" s="7"/>
      <c r="R162" s="38"/>
    </row>
    <row r="163" spans="1:18" x14ac:dyDescent="0.25">
      <c r="A163" s="73" t="s">
        <v>81</v>
      </c>
      <c r="B163" s="17">
        <v>6</v>
      </c>
      <c r="C163" s="17">
        <v>6</v>
      </c>
      <c r="D163" s="17">
        <v>6</v>
      </c>
      <c r="E163" s="17">
        <v>6</v>
      </c>
      <c r="F163" s="17">
        <v>6</v>
      </c>
      <c r="G163" s="17">
        <v>6</v>
      </c>
      <c r="H163" s="17">
        <v>6</v>
      </c>
      <c r="I163" s="17">
        <v>6</v>
      </c>
      <c r="J163" s="17">
        <v>6</v>
      </c>
      <c r="K163" s="17">
        <v>6</v>
      </c>
      <c r="L163" s="17">
        <v>6</v>
      </c>
      <c r="M163" s="17">
        <v>6</v>
      </c>
      <c r="N163" s="11"/>
      <c r="O163" s="11"/>
      <c r="P163" s="7"/>
      <c r="Q163" s="7"/>
      <c r="R163" s="38"/>
    </row>
    <row r="164" spans="1:18" x14ac:dyDescent="0.25">
      <c r="A164" s="73" t="s">
        <v>82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/>
      <c r="N164" s="11"/>
      <c r="O164" s="11"/>
      <c r="P164" s="7"/>
      <c r="Q164" s="7"/>
      <c r="R164" s="38"/>
    </row>
    <row r="165" spans="1:18" x14ac:dyDescent="0.25">
      <c r="A165" s="73" t="s">
        <v>104</v>
      </c>
      <c r="B165" s="17">
        <v>1</v>
      </c>
      <c r="C165" s="17">
        <v>1</v>
      </c>
      <c r="D165" s="17">
        <v>1</v>
      </c>
      <c r="E165" s="17">
        <v>1</v>
      </c>
      <c r="F165" s="17">
        <v>1</v>
      </c>
      <c r="G165" s="17">
        <v>1</v>
      </c>
      <c r="H165" s="17">
        <v>1</v>
      </c>
      <c r="I165" s="17">
        <v>1</v>
      </c>
      <c r="J165" s="17">
        <v>1</v>
      </c>
      <c r="K165" s="17">
        <v>1</v>
      </c>
      <c r="L165" s="17">
        <v>1</v>
      </c>
      <c r="M165" s="17">
        <v>1</v>
      </c>
      <c r="N165" s="11"/>
      <c r="O165" s="11"/>
      <c r="P165" s="7"/>
      <c r="Q165" s="7"/>
      <c r="R165" s="38"/>
    </row>
    <row r="166" spans="1:18" x14ac:dyDescent="0.25">
      <c r="A166" s="74" t="s">
        <v>58</v>
      </c>
      <c r="B166" s="8">
        <f>B167+B168</f>
        <v>0</v>
      </c>
      <c r="C166" s="8">
        <f t="shared" ref="C166:M166" si="42">C167+C168</f>
        <v>0</v>
      </c>
      <c r="D166" s="8">
        <f t="shared" si="42"/>
        <v>0</v>
      </c>
      <c r="E166" s="8">
        <f t="shared" si="42"/>
        <v>0</v>
      </c>
      <c r="F166" s="8">
        <f t="shared" si="42"/>
        <v>0</v>
      </c>
      <c r="G166" s="8">
        <f t="shared" si="42"/>
        <v>0</v>
      </c>
      <c r="H166" s="8">
        <f t="shared" si="42"/>
        <v>0</v>
      </c>
      <c r="I166" s="8">
        <f t="shared" si="42"/>
        <v>0</v>
      </c>
      <c r="J166" s="8">
        <f t="shared" si="42"/>
        <v>0</v>
      </c>
      <c r="K166" s="8">
        <f t="shared" si="42"/>
        <v>0</v>
      </c>
      <c r="L166" s="8">
        <f t="shared" si="42"/>
        <v>0</v>
      </c>
      <c r="M166" s="8">
        <f t="shared" si="42"/>
        <v>0</v>
      </c>
      <c r="N166" s="11"/>
      <c r="O166" s="11"/>
      <c r="P166" s="7"/>
      <c r="Q166" s="7"/>
      <c r="R166" s="38"/>
    </row>
    <row r="167" spans="1:18" x14ac:dyDescent="0.25">
      <c r="A167" s="73" t="s">
        <v>81</v>
      </c>
      <c r="B167" s="17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/>
      <c r="N167" s="11"/>
      <c r="O167" s="11"/>
      <c r="P167" s="7"/>
      <c r="Q167" s="7"/>
      <c r="R167" s="38"/>
    </row>
    <row r="168" spans="1:18" x14ac:dyDescent="0.25">
      <c r="A168" s="73" t="s">
        <v>82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/>
      <c r="N168" s="11"/>
      <c r="O168" s="11"/>
      <c r="P168" s="7"/>
      <c r="Q168" s="7"/>
      <c r="R168" s="38"/>
    </row>
    <row r="169" spans="1:18" x14ac:dyDescent="0.25">
      <c r="A169" s="81"/>
      <c r="B169" s="18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1"/>
      <c r="O169" s="11"/>
      <c r="P169" s="7"/>
      <c r="Q169" s="7"/>
      <c r="R169" s="38"/>
    </row>
    <row r="170" spans="1:18" x14ac:dyDescent="0.25">
      <c r="A170" s="81" t="s">
        <v>59</v>
      </c>
      <c r="B170" s="17">
        <v>4</v>
      </c>
      <c r="C170" s="17">
        <v>4</v>
      </c>
      <c r="D170" s="17">
        <v>4</v>
      </c>
      <c r="E170" s="17">
        <v>4</v>
      </c>
      <c r="F170" s="17">
        <v>4</v>
      </c>
      <c r="G170" s="17">
        <v>4</v>
      </c>
      <c r="H170" s="17">
        <v>4</v>
      </c>
      <c r="I170" s="17">
        <v>4</v>
      </c>
      <c r="J170" s="17">
        <v>4</v>
      </c>
      <c r="K170" s="17">
        <v>4</v>
      </c>
      <c r="L170" s="17">
        <v>4</v>
      </c>
      <c r="M170" s="17">
        <v>4</v>
      </c>
      <c r="N170" s="11"/>
      <c r="O170" s="11"/>
      <c r="P170" s="7"/>
      <c r="Q170" s="7"/>
      <c r="R170" s="38"/>
    </row>
    <row r="171" spans="1:18" x14ac:dyDescent="0.25">
      <c r="A171" s="81" t="s">
        <v>60</v>
      </c>
      <c r="B171" s="17">
        <v>26</v>
      </c>
      <c r="C171" s="17">
        <v>40</v>
      </c>
      <c r="D171" s="17">
        <v>19</v>
      </c>
      <c r="E171" s="17">
        <v>11</v>
      </c>
      <c r="F171" s="17">
        <v>13</v>
      </c>
      <c r="G171" s="17">
        <v>2</v>
      </c>
      <c r="H171" s="17">
        <v>4</v>
      </c>
      <c r="I171" s="17">
        <v>6</v>
      </c>
      <c r="J171" s="17">
        <v>21</v>
      </c>
      <c r="K171" s="17">
        <v>15</v>
      </c>
      <c r="L171" s="17">
        <v>22</v>
      </c>
      <c r="M171" s="17">
        <v>17</v>
      </c>
      <c r="N171" s="11"/>
      <c r="O171" s="11"/>
      <c r="P171" s="7"/>
      <c r="Q171" s="7"/>
      <c r="R171" s="38"/>
    </row>
    <row r="172" spans="1:18" x14ac:dyDescent="0.25">
      <c r="A172" s="81" t="s">
        <v>61</v>
      </c>
      <c r="B172" s="17">
        <v>26</v>
      </c>
      <c r="C172" s="17">
        <v>40</v>
      </c>
      <c r="D172" s="17">
        <v>19</v>
      </c>
      <c r="E172" s="17">
        <v>11</v>
      </c>
      <c r="F172" s="17">
        <v>13</v>
      </c>
      <c r="G172" s="17">
        <v>2</v>
      </c>
      <c r="H172" s="17">
        <v>4</v>
      </c>
      <c r="I172" s="17">
        <v>6</v>
      </c>
      <c r="J172" s="17">
        <v>21</v>
      </c>
      <c r="K172" s="17">
        <v>15</v>
      </c>
      <c r="L172" s="17">
        <v>22</v>
      </c>
      <c r="M172" s="17">
        <v>17</v>
      </c>
      <c r="N172" s="11"/>
      <c r="O172" s="11"/>
      <c r="P172" s="7"/>
      <c r="Q172" s="7"/>
      <c r="R172" s="38"/>
    </row>
    <row r="173" spans="1:18" x14ac:dyDescent="0.25">
      <c r="A173" s="81" t="s">
        <v>62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/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/>
      <c r="N173" s="11"/>
      <c r="O173" s="11"/>
      <c r="P173" s="7"/>
      <c r="Q173" s="7"/>
      <c r="R173" s="38"/>
    </row>
    <row r="174" spans="1:18" x14ac:dyDescent="0.25">
      <c r="A174" s="81" t="s">
        <v>63</v>
      </c>
      <c r="B174" s="17">
        <v>149</v>
      </c>
      <c r="C174" s="17">
        <v>122</v>
      </c>
      <c r="D174" s="17">
        <v>108</v>
      </c>
      <c r="E174" s="17">
        <v>48</v>
      </c>
      <c r="F174" s="17">
        <v>55</v>
      </c>
      <c r="G174" s="17">
        <v>19</v>
      </c>
      <c r="H174" s="17">
        <v>28</v>
      </c>
      <c r="I174" s="17">
        <v>45</v>
      </c>
      <c r="J174" s="17">
        <v>135</v>
      </c>
      <c r="K174" s="17">
        <v>92</v>
      </c>
      <c r="L174" s="17">
        <v>89</v>
      </c>
      <c r="M174" s="17">
        <v>121</v>
      </c>
      <c r="N174" s="11"/>
      <c r="O174" s="11"/>
      <c r="P174" s="7"/>
      <c r="Q174" s="7"/>
      <c r="R174" s="38"/>
    </row>
    <row r="175" spans="1:18" x14ac:dyDescent="0.25">
      <c r="A175" s="81" t="s">
        <v>64</v>
      </c>
      <c r="B175" s="17">
        <v>149</v>
      </c>
      <c r="C175" s="17">
        <v>122</v>
      </c>
      <c r="D175" s="17">
        <v>108</v>
      </c>
      <c r="E175" s="17">
        <v>48</v>
      </c>
      <c r="F175" s="17">
        <v>55</v>
      </c>
      <c r="G175" s="17">
        <v>19</v>
      </c>
      <c r="H175" s="17">
        <v>28</v>
      </c>
      <c r="I175" s="17">
        <v>45</v>
      </c>
      <c r="J175" s="17">
        <v>135</v>
      </c>
      <c r="K175" s="17">
        <v>92</v>
      </c>
      <c r="L175" s="17">
        <v>89</v>
      </c>
      <c r="M175" s="17">
        <v>121</v>
      </c>
      <c r="N175" s="11"/>
      <c r="O175" s="11"/>
      <c r="P175" s="7"/>
      <c r="Q175" s="7"/>
      <c r="R175" s="38"/>
    </row>
    <row r="176" spans="1:18" x14ac:dyDescent="0.25">
      <c r="A176" s="81" t="s">
        <v>65</v>
      </c>
      <c r="B176" s="17">
        <v>3441</v>
      </c>
      <c r="C176" s="17">
        <v>3443</v>
      </c>
      <c r="D176" s="17">
        <v>3458</v>
      </c>
      <c r="E176" s="17">
        <v>3461</v>
      </c>
      <c r="F176" s="17">
        <v>3477</v>
      </c>
      <c r="G176" s="17">
        <v>3519</v>
      </c>
      <c r="H176" s="17">
        <v>3509</v>
      </c>
      <c r="I176" s="17">
        <v>3513</v>
      </c>
      <c r="J176" s="17">
        <v>3524</v>
      </c>
      <c r="K176" s="17">
        <v>3538</v>
      </c>
      <c r="L176" s="17">
        <v>3558</v>
      </c>
      <c r="M176" s="17">
        <v>3561</v>
      </c>
      <c r="N176" s="11"/>
      <c r="O176" s="11"/>
      <c r="P176" s="7"/>
      <c r="Q176" s="7"/>
      <c r="R176" s="38"/>
    </row>
    <row r="177" spans="1:18" x14ac:dyDescent="0.25">
      <c r="A177" s="89" t="s">
        <v>66</v>
      </c>
      <c r="B177" s="21">
        <v>0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/>
      <c r="M177" s="21"/>
      <c r="N177" s="12"/>
      <c r="O177" s="12"/>
      <c r="P177" s="54"/>
      <c r="Q177" s="54"/>
      <c r="R177" s="55"/>
    </row>
    <row r="179" spans="1:18" x14ac:dyDescent="0.25">
      <c r="A179" s="32" t="s">
        <v>164</v>
      </c>
    </row>
    <row r="180" spans="1:18" x14ac:dyDescent="0.25">
      <c r="B180" s="104"/>
    </row>
    <row r="181" spans="1:18" x14ac:dyDescent="0.25">
      <c r="A181" s="32" t="s">
        <v>165</v>
      </c>
    </row>
    <row r="182" spans="1:18" x14ac:dyDescent="0.25">
      <c r="A182" s="32" t="s">
        <v>166</v>
      </c>
      <c r="B182" s="32" t="s">
        <v>166</v>
      </c>
    </row>
    <row r="183" spans="1:18" x14ac:dyDescent="0.25">
      <c r="A183" s="32" t="s">
        <v>167</v>
      </c>
      <c r="B183" s="32" t="s">
        <v>168</v>
      </c>
    </row>
    <row r="184" spans="1:18" x14ac:dyDescent="0.25">
      <c r="A184" s="32" t="s">
        <v>169</v>
      </c>
      <c r="B184" s="32" t="s">
        <v>170</v>
      </c>
    </row>
    <row r="190" spans="1:18" x14ac:dyDescent="0.25">
      <c r="Q190" s="56"/>
      <c r="R190" s="56"/>
    </row>
  </sheetData>
  <sheetProtection algorithmName="SHA-512" hashValue="NEBOOF2SS3WQM1lFANKWiucPNy+1rcIooZLus955rCYt2LxRtZPBygCWgfqQfnOKmZElM2Xf7EfEchlV0mglKA==" saltValue="/IaR31cX7KwCSyx84liCkQ==" spinCount="100000" sheet="1" selectLockedCells="1"/>
  <mergeCells count="4">
    <mergeCell ref="A4:R4"/>
    <mergeCell ref="A3:R3"/>
    <mergeCell ref="A1:R1"/>
    <mergeCell ref="A6:O6"/>
  </mergeCells>
  <pageMargins left="0.25" right="0.25" top="0.75" bottom="0.75" header="0.3" footer="0.3"/>
  <pageSetup scale="3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0" sqref="D10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workbookViewId="0"/>
  </sheetViews>
  <sheetFormatPr baseColWidth="10" defaultRowHeight="15" x14ac:dyDescent="0.25"/>
  <cols>
    <col min="1" max="1" width="17.140625" customWidth="1"/>
  </cols>
  <sheetData>
    <row r="1" spans="1:3" ht="15.75" x14ac:dyDescent="0.25">
      <c r="A1" s="63"/>
      <c r="B1" s="64"/>
      <c r="C1" s="64"/>
    </row>
    <row r="2" spans="1:3" x14ac:dyDescent="0.25">
      <c r="A2" s="65"/>
      <c r="B2" s="11"/>
      <c r="C2" s="7"/>
    </row>
    <row r="3" spans="1:3" ht="15.75" x14ac:dyDescent="0.25">
      <c r="A3" s="66"/>
      <c r="B3" s="10"/>
      <c r="C3" s="10"/>
    </row>
    <row r="4" spans="1:3" x14ac:dyDescent="0.25">
      <c r="A4" s="52"/>
      <c r="B4" s="8"/>
      <c r="C4" s="8"/>
    </row>
    <row r="5" spans="1:3" x14ac:dyDescent="0.25">
      <c r="A5" s="52"/>
      <c r="B5" s="11"/>
      <c r="C5" s="11"/>
    </row>
    <row r="6" spans="1:3" x14ac:dyDescent="0.25">
      <c r="A6" s="52"/>
      <c r="B6" s="11"/>
      <c r="C6" s="11"/>
    </row>
    <row r="7" spans="1:3" x14ac:dyDescent="0.25">
      <c r="A7" s="52"/>
      <c r="B7" s="8"/>
      <c r="C7" s="8"/>
    </row>
    <row r="8" spans="1:3" x14ac:dyDescent="0.25">
      <c r="A8" s="52"/>
      <c r="B8" s="11"/>
      <c r="C8" s="11"/>
    </row>
    <row r="9" spans="1:3" x14ac:dyDescent="0.25">
      <c r="A9" s="52"/>
      <c r="B9" s="11"/>
      <c r="C9" s="11"/>
    </row>
    <row r="10" spans="1:3" x14ac:dyDescent="0.25">
      <c r="A10" s="52"/>
      <c r="B10" s="8"/>
      <c r="C10" s="8"/>
    </row>
    <row r="11" spans="1:3" x14ac:dyDescent="0.25">
      <c r="A11" s="52"/>
      <c r="B11" s="11"/>
      <c r="C11" s="11"/>
    </row>
    <row r="12" spans="1:3" x14ac:dyDescent="0.25">
      <c r="A12" s="52"/>
      <c r="B12" s="11"/>
      <c r="C12" s="11"/>
    </row>
    <row r="13" spans="1:3" x14ac:dyDescent="0.25">
      <c r="A13" s="52"/>
      <c r="B13" s="11"/>
      <c r="C13" s="11"/>
    </row>
    <row r="14" spans="1:3" x14ac:dyDescent="0.25">
      <c r="A14" s="53"/>
      <c r="B14" s="8"/>
      <c r="C14" s="11"/>
    </row>
    <row r="15" spans="1:3" x14ac:dyDescent="0.25">
      <c r="A15" s="52"/>
      <c r="B15" s="11"/>
      <c r="C15" s="11"/>
    </row>
    <row r="16" spans="1:3" x14ac:dyDescent="0.25">
      <c r="A16" s="52"/>
      <c r="B16" s="11"/>
      <c r="C16" s="11"/>
    </row>
    <row r="17" spans="1:3" x14ac:dyDescent="0.25">
      <c r="A17" s="67"/>
      <c r="B17" s="48"/>
      <c r="C17" s="11"/>
    </row>
    <row r="18" spans="1:3" x14ac:dyDescent="0.25">
      <c r="A18" s="67"/>
      <c r="B18" s="11"/>
      <c r="C18" s="11"/>
    </row>
    <row r="19" spans="1:3" x14ac:dyDescent="0.25">
      <c r="A19" s="67"/>
      <c r="B19" s="11"/>
      <c r="C19" s="11"/>
    </row>
    <row r="20" spans="1:3" x14ac:dyDescent="0.25">
      <c r="A20" s="67"/>
      <c r="B20" s="11"/>
      <c r="C20" s="11"/>
    </row>
    <row r="21" spans="1:3" x14ac:dyDescent="0.25">
      <c r="A21" s="67"/>
      <c r="B21" s="11"/>
      <c r="C21" s="11"/>
    </row>
    <row r="22" spans="1:3" x14ac:dyDescent="0.25">
      <c r="A22" s="67"/>
      <c r="B22" s="11"/>
      <c r="C22" s="11"/>
    </row>
    <row r="23" spans="1:3" x14ac:dyDescent="0.25">
      <c r="A23" s="67"/>
      <c r="B23" s="11"/>
      <c r="C23" s="11"/>
    </row>
    <row r="24" spans="1:3" x14ac:dyDescent="0.25">
      <c r="A24" s="67"/>
      <c r="B24" s="11"/>
      <c r="C24" s="11"/>
    </row>
    <row r="25" spans="1:3" x14ac:dyDescent="0.25">
      <c r="A25" s="68"/>
      <c r="B25" s="12"/>
      <c r="C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Jauregui</dc:creator>
  <cp:lastModifiedBy>saucillobt9dzc3@hotmail.com</cp:lastModifiedBy>
  <cp:lastPrinted>2024-01-30T01:49:27Z</cp:lastPrinted>
  <dcterms:created xsi:type="dcterms:W3CDTF">2014-03-28T15:53:31Z</dcterms:created>
  <dcterms:modified xsi:type="dcterms:W3CDTF">2024-01-30T01:49:46Z</dcterms:modified>
</cp:coreProperties>
</file>