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600"/>
  </bookViews>
  <sheets>
    <sheet name="Inversiones" sheetId="1" r:id="rId1"/>
  </sheets>
  <externalReferences>
    <externalReference r:id="rId2"/>
  </externalReferences>
  <definedNames>
    <definedName name="_xlnm._FilterDatabase" localSheetId="0" hidden="1">Inversiones!$A$9:$BT$182</definedName>
    <definedName name="_xlnm.Print_Area" localSheetId="0">Inversiones!$A$1:$G$191</definedName>
  </definedNames>
  <calcPr calcId="145621"/>
</workbook>
</file>

<file path=xl/calcChain.xml><?xml version="1.0" encoding="utf-8"?>
<calcChain xmlns="http://schemas.openxmlformats.org/spreadsheetml/2006/main">
  <c r="Q181" i="1" l="1"/>
  <c r="P181" i="1"/>
  <c r="K181" i="1" s="1"/>
  <c r="C181" i="1"/>
  <c r="Q180" i="1"/>
  <c r="P180" i="1"/>
  <c r="C180" i="1"/>
  <c r="Q179" i="1"/>
  <c r="P179" i="1"/>
  <c r="M179" i="1" s="1"/>
  <c r="C179" i="1"/>
  <c r="Q178" i="1"/>
  <c r="P178" i="1"/>
  <c r="C178" i="1"/>
  <c r="Q177" i="1"/>
  <c r="P177" i="1"/>
  <c r="C177" i="1"/>
  <c r="Q176" i="1"/>
  <c r="P176" i="1"/>
  <c r="L176" i="1" s="1"/>
  <c r="C176" i="1"/>
  <c r="Q175" i="1"/>
  <c r="P175" i="1"/>
  <c r="C175" i="1"/>
  <c r="Q174" i="1"/>
  <c r="P174" i="1"/>
  <c r="N174" i="1" s="1"/>
  <c r="C174" i="1"/>
  <c r="Q173" i="1"/>
  <c r="P173" i="1"/>
  <c r="C173" i="1"/>
  <c r="Q172" i="1"/>
  <c r="P172" i="1"/>
  <c r="M172" i="1" s="1"/>
  <c r="C172" i="1"/>
  <c r="Q171" i="1"/>
  <c r="P171" i="1"/>
  <c r="C171" i="1"/>
  <c r="Q170" i="1"/>
  <c r="P170" i="1"/>
  <c r="H170" i="1" s="1"/>
  <c r="C170" i="1"/>
  <c r="Q169" i="1"/>
  <c r="P169" i="1"/>
  <c r="C169" i="1"/>
  <c r="Q168" i="1"/>
  <c r="P168" i="1"/>
  <c r="L168" i="1" s="1"/>
  <c r="M168" i="1"/>
  <c r="I168" i="1"/>
  <c r="C168" i="1"/>
  <c r="Q167" i="1"/>
  <c r="P167" i="1"/>
  <c r="M167" i="1" s="1"/>
  <c r="C167" i="1"/>
  <c r="Q166" i="1"/>
  <c r="P166" i="1"/>
  <c r="O166" i="1" s="1"/>
  <c r="M166" i="1"/>
  <c r="H166" i="1"/>
  <c r="C166" i="1"/>
  <c r="Q165" i="1"/>
  <c r="P165" i="1"/>
  <c r="L165" i="1" s="1"/>
  <c r="C165" i="1"/>
  <c r="Q164" i="1"/>
  <c r="P164" i="1"/>
  <c r="O164" i="1" s="1"/>
  <c r="L164" i="1"/>
  <c r="K164" i="1"/>
  <c r="C164" i="1"/>
  <c r="Q163" i="1"/>
  <c r="P163" i="1"/>
  <c r="N163" i="1" s="1"/>
  <c r="C163" i="1"/>
  <c r="Q162" i="1"/>
  <c r="P162" i="1"/>
  <c r="K162" i="1" s="1"/>
  <c r="C162" i="1"/>
  <c r="Q161" i="1"/>
  <c r="P161" i="1"/>
  <c r="C161" i="1"/>
  <c r="Q160" i="1"/>
  <c r="P160" i="1"/>
  <c r="C160" i="1"/>
  <c r="Q159" i="1"/>
  <c r="P159" i="1"/>
  <c r="C159" i="1"/>
  <c r="Q158" i="1"/>
  <c r="P158" i="1"/>
  <c r="O158" i="1" s="1"/>
  <c r="C158" i="1"/>
  <c r="Q157" i="1"/>
  <c r="P157" i="1"/>
  <c r="C157" i="1"/>
  <c r="Q156" i="1"/>
  <c r="P156" i="1"/>
  <c r="C156" i="1"/>
  <c r="Q155" i="1"/>
  <c r="P155" i="1"/>
  <c r="N155" i="1" s="1"/>
  <c r="C155" i="1"/>
  <c r="Q154" i="1"/>
  <c r="N154" i="1" s="1"/>
  <c r="P154" i="1"/>
  <c r="C154" i="1"/>
  <c r="Q153" i="1"/>
  <c r="P153" i="1"/>
  <c r="M153" i="1" s="1"/>
  <c r="C153" i="1"/>
  <c r="Q152" i="1"/>
  <c r="P152" i="1"/>
  <c r="C152" i="1"/>
  <c r="Q151" i="1"/>
  <c r="P151" i="1"/>
  <c r="M151" i="1" s="1"/>
  <c r="C151" i="1"/>
  <c r="Q150" i="1"/>
  <c r="P150" i="1"/>
  <c r="C150" i="1"/>
  <c r="Q149" i="1"/>
  <c r="P149" i="1"/>
  <c r="L149" i="1" s="1"/>
  <c r="H149" i="1"/>
  <c r="C149" i="1"/>
  <c r="Q148" i="1"/>
  <c r="P148" i="1"/>
  <c r="C148" i="1"/>
  <c r="Q147" i="1"/>
  <c r="P147" i="1"/>
  <c r="M147" i="1" s="1"/>
  <c r="C147" i="1"/>
  <c r="Q146" i="1"/>
  <c r="P146" i="1"/>
  <c r="C146" i="1"/>
  <c r="Q145" i="1"/>
  <c r="P145" i="1"/>
  <c r="M145" i="1" s="1"/>
  <c r="N145" i="1"/>
  <c r="C145" i="1"/>
  <c r="Q144" i="1"/>
  <c r="P144" i="1"/>
  <c r="K144" i="1" s="1"/>
  <c r="C144" i="1"/>
  <c r="Q143" i="1"/>
  <c r="P143" i="1"/>
  <c r="M143" i="1" s="1"/>
  <c r="L143" i="1"/>
  <c r="C143" i="1"/>
  <c r="Q142" i="1"/>
  <c r="P142" i="1"/>
  <c r="O142" i="1" s="1"/>
  <c r="M142" i="1"/>
  <c r="K142" i="1"/>
  <c r="C142" i="1"/>
  <c r="Q141" i="1"/>
  <c r="P141" i="1"/>
  <c r="D141" i="1" s="1"/>
  <c r="K141" i="1"/>
  <c r="C141" i="1"/>
  <c r="Q140" i="1"/>
  <c r="P140" i="1"/>
  <c r="O140" i="1" s="1"/>
  <c r="K140" i="1"/>
  <c r="C140" i="1"/>
  <c r="Q139" i="1"/>
  <c r="P139" i="1"/>
  <c r="M139" i="1" s="1"/>
  <c r="C139" i="1"/>
  <c r="Q138" i="1"/>
  <c r="P138" i="1"/>
  <c r="O138" i="1" s="1"/>
  <c r="N138" i="1"/>
  <c r="M138" i="1"/>
  <c r="D138" i="1"/>
  <c r="C138" i="1"/>
  <c r="Q137" i="1"/>
  <c r="P137" i="1"/>
  <c r="C137" i="1"/>
  <c r="Q136" i="1"/>
  <c r="P136" i="1"/>
  <c r="O136" i="1" s="1"/>
  <c r="C136" i="1"/>
  <c r="Q135" i="1"/>
  <c r="P135" i="1"/>
  <c r="C135" i="1"/>
  <c r="Q134" i="1"/>
  <c r="P134" i="1"/>
  <c r="N134" i="1" s="1"/>
  <c r="C134" i="1"/>
  <c r="Q133" i="1"/>
  <c r="P133" i="1"/>
  <c r="C133" i="1"/>
  <c r="Q132" i="1"/>
  <c r="P132" i="1"/>
  <c r="C132" i="1"/>
  <c r="Q131" i="1"/>
  <c r="P131" i="1"/>
  <c r="C131" i="1"/>
  <c r="Q130" i="1"/>
  <c r="P130" i="1"/>
  <c r="M130" i="1" s="1"/>
  <c r="C130" i="1"/>
  <c r="Q129" i="1"/>
  <c r="P129" i="1"/>
  <c r="C129" i="1"/>
  <c r="Q128" i="1"/>
  <c r="P128" i="1"/>
  <c r="O128" i="1" s="1"/>
  <c r="C128" i="1"/>
  <c r="Q127" i="1"/>
  <c r="P127" i="1"/>
  <c r="C127" i="1"/>
  <c r="Q126" i="1"/>
  <c r="P126" i="1"/>
  <c r="M126" i="1" s="1"/>
  <c r="C126" i="1"/>
  <c r="Q125" i="1"/>
  <c r="P125" i="1"/>
  <c r="C125" i="1"/>
  <c r="Q124" i="1"/>
  <c r="P124" i="1"/>
  <c r="O124" i="1" s="1"/>
  <c r="C124" i="1"/>
  <c r="Q123" i="1"/>
  <c r="P123" i="1"/>
  <c r="C123" i="1"/>
  <c r="Q122" i="1"/>
  <c r="P122" i="1"/>
  <c r="K122" i="1" s="1"/>
  <c r="O122" i="1"/>
  <c r="H122" i="1"/>
  <c r="C122" i="1"/>
  <c r="Q121" i="1"/>
  <c r="P121" i="1"/>
  <c r="C121" i="1"/>
  <c r="Q120" i="1"/>
  <c r="P120" i="1"/>
  <c r="M120" i="1" s="1"/>
  <c r="C120" i="1"/>
  <c r="Q119" i="1"/>
  <c r="P119" i="1"/>
  <c r="M119" i="1" s="1"/>
  <c r="C119" i="1"/>
  <c r="Q118" i="1"/>
  <c r="P118" i="1"/>
  <c r="N118" i="1" s="1"/>
  <c r="C118" i="1"/>
  <c r="Q117" i="1"/>
  <c r="P117" i="1"/>
  <c r="C117" i="1"/>
  <c r="Q116" i="1"/>
  <c r="P116" i="1"/>
  <c r="O116" i="1" s="1"/>
  <c r="C116" i="1"/>
  <c r="Q115" i="1"/>
  <c r="P115" i="1"/>
  <c r="C115" i="1"/>
  <c r="Q114" i="1"/>
  <c r="P114" i="1"/>
  <c r="O114" i="1" s="1"/>
  <c r="D114" i="1"/>
  <c r="C114" i="1"/>
  <c r="Q113" i="1"/>
  <c r="P113" i="1"/>
  <c r="C113" i="1"/>
  <c r="Q112" i="1"/>
  <c r="P112" i="1"/>
  <c r="C112" i="1"/>
  <c r="Q111" i="1"/>
  <c r="P111" i="1"/>
  <c r="O111" i="1" s="1"/>
  <c r="C111" i="1"/>
  <c r="Q110" i="1"/>
  <c r="P110" i="1"/>
  <c r="H110" i="1" s="1"/>
  <c r="C110" i="1"/>
  <c r="Q109" i="1"/>
  <c r="P109" i="1"/>
  <c r="K109" i="1" s="1"/>
  <c r="C109" i="1"/>
  <c r="Q108" i="1"/>
  <c r="P108" i="1"/>
  <c r="H108" i="1" s="1"/>
  <c r="K108" i="1"/>
  <c r="C108" i="1"/>
  <c r="Q107" i="1"/>
  <c r="P107" i="1"/>
  <c r="C107" i="1"/>
  <c r="Q106" i="1"/>
  <c r="P106" i="1"/>
  <c r="N106" i="1" s="1"/>
  <c r="C106" i="1"/>
  <c r="Q105" i="1"/>
  <c r="P105" i="1"/>
  <c r="K105" i="1" s="1"/>
  <c r="O105" i="1"/>
  <c r="N105" i="1"/>
  <c r="M105" i="1"/>
  <c r="L105" i="1"/>
  <c r="I105" i="1"/>
  <c r="H105" i="1"/>
  <c r="C105" i="1"/>
  <c r="Q104" i="1"/>
  <c r="P104" i="1"/>
  <c r="K104" i="1" s="1"/>
  <c r="C104" i="1"/>
  <c r="Q103" i="1"/>
  <c r="P103" i="1"/>
  <c r="N103" i="1" s="1"/>
  <c r="K103" i="1"/>
  <c r="C103" i="1"/>
  <c r="Q102" i="1"/>
  <c r="P102" i="1"/>
  <c r="H102" i="1" s="1"/>
  <c r="I102" i="1"/>
  <c r="C102" i="1"/>
  <c r="Q101" i="1"/>
  <c r="P101" i="1"/>
  <c r="M101" i="1" s="1"/>
  <c r="O101" i="1"/>
  <c r="C101" i="1"/>
  <c r="Q100" i="1"/>
  <c r="P100" i="1"/>
  <c r="C100" i="1"/>
  <c r="Q99" i="1"/>
  <c r="P99" i="1"/>
  <c r="M99" i="1" s="1"/>
  <c r="C99" i="1"/>
  <c r="Q98" i="1"/>
  <c r="P98" i="1"/>
  <c r="I98" i="1"/>
  <c r="C98" i="1"/>
  <c r="Q97" i="1"/>
  <c r="P97" i="1"/>
  <c r="L97" i="1" s="1"/>
  <c r="C97" i="1"/>
  <c r="Q96" i="1"/>
  <c r="P96" i="1"/>
  <c r="I96" i="1"/>
  <c r="C96" i="1"/>
  <c r="Q95" i="1"/>
  <c r="P95" i="1"/>
  <c r="O95" i="1" s="1"/>
  <c r="C95" i="1"/>
  <c r="Q94" i="1"/>
  <c r="P94" i="1"/>
  <c r="C94" i="1"/>
  <c r="Q93" i="1"/>
  <c r="P93" i="1"/>
  <c r="C93" i="1"/>
  <c r="Q92" i="1"/>
  <c r="P92" i="1"/>
  <c r="M92" i="1" s="1"/>
  <c r="I92" i="1"/>
  <c r="C92" i="1"/>
  <c r="Q91" i="1"/>
  <c r="P91" i="1"/>
  <c r="C91" i="1"/>
  <c r="Q90" i="1"/>
  <c r="P90" i="1"/>
  <c r="O90" i="1" s="1"/>
  <c r="C90" i="1"/>
  <c r="Q89" i="1"/>
  <c r="P89" i="1"/>
  <c r="C89" i="1"/>
  <c r="Q88" i="1"/>
  <c r="P88" i="1"/>
  <c r="N88" i="1" s="1"/>
  <c r="C88" i="1"/>
  <c r="Q87" i="1"/>
  <c r="P87" i="1"/>
  <c r="C87" i="1"/>
  <c r="Q86" i="1"/>
  <c r="P86" i="1"/>
  <c r="M86" i="1" s="1"/>
  <c r="H86" i="1"/>
  <c r="C86" i="1"/>
  <c r="Q85" i="1"/>
  <c r="P85" i="1"/>
  <c r="C85" i="1"/>
  <c r="Q84" i="1"/>
  <c r="P84" i="1"/>
  <c r="O84" i="1" s="1"/>
  <c r="C84" i="1"/>
  <c r="Q83" i="1"/>
  <c r="P83" i="1"/>
  <c r="I83" i="1"/>
  <c r="C83" i="1"/>
  <c r="Q82" i="1"/>
  <c r="P82" i="1"/>
  <c r="O82" i="1" s="1"/>
  <c r="C82" i="1"/>
  <c r="Q81" i="1"/>
  <c r="P81" i="1"/>
  <c r="C81" i="1"/>
  <c r="Q80" i="1"/>
  <c r="P80" i="1"/>
  <c r="H80" i="1" s="1"/>
  <c r="N80" i="1"/>
  <c r="I80" i="1"/>
  <c r="C80" i="1"/>
  <c r="Q79" i="1"/>
  <c r="P79" i="1"/>
  <c r="C79" i="1"/>
  <c r="Q78" i="1"/>
  <c r="P78" i="1"/>
  <c r="O78" i="1" s="1"/>
  <c r="I78" i="1"/>
  <c r="C78" i="1"/>
  <c r="Q77" i="1"/>
  <c r="P77" i="1"/>
  <c r="C77" i="1"/>
  <c r="Q76" i="1"/>
  <c r="P76" i="1"/>
  <c r="K76" i="1" s="1"/>
  <c r="C76" i="1"/>
  <c r="Q75" i="1"/>
  <c r="P75" i="1"/>
  <c r="I75" i="1"/>
  <c r="C75" i="1"/>
  <c r="Q74" i="1"/>
  <c r="P74" i="1"/>
  <c r="C74" i="1"/>
  <c r="Q73" i="1"/>
  <c r="P73" i="1"/>
  <c r="O73" i="1" s="1"/>
  <c r="Q72" i="1"/>
  <c r="P72" i="1"/>
  <c r="O72" i="1" s="1"/>
  <c r="Q71" i="1"/>
  <c r="P71" i="1"/>
  <c r="I71" i="1"/>
  <c r="Q70" i="1"/>
  <c r="P70" i="1"/>
  <c r="N70" i="1" s="1"/>
  <c r="O70" i="1"/>
  <c r="I70" i="1"/>
  <c r="H70" i="1"/>
  <c r="D70" i="1"/>
  <c r="Q69" i="1"/>
  <c r="P69" i="1"/>
  <c r="O69" i="1" s="1"/>
  <c r="Q68" i="1"/>
  <c r="P68" i="1"/>
  <c r="D68" i="1" s="1"/>
  <c r="O68" i="1"/>
  <c r="M68" i="1"/>
  <c r="K68" i="1"/>
  <c r="C68" i="1"/>
  <c r="Q67" i="1"/>
  <c r="P67" i="1"/>
  <c r="M67" i="1" s="1"/>
  <c r="C67" i="1"/>
  <c r="Q66" i="1"/>
  <c r="P66" i="1"/>
  <c r="O66" i="1" s="1"/>
  <c r="C66" i="1"/>
  <c r="Q65" i="1"/>
  <c r="P65" i="1"/>
  <c r="C65" i="1"/>
  <c r="Q64" i="1"/>
  <c r="P64" i="1"/>
  <c r="K64" i="1" s="1"/>
  <c r="I64" i="1"/>
  <c r="Q63" i="1"/>
  <c r="P63" i="1"/>
  <c r="Q62" i="1"/>
  <c r="P62" i="1"/>
  <c r="H62" i="1" s="1"/>
  <c r="M62" i="1"/>
  <c r="C62" i="1"/>
  <c r="Q61" i="1"/>
  <c r="P61" i="1"/>
  <c r="C61" i="1"/>
  <c r="Q60" i="1"/>
  <c r="P60" i="1"/>
  <c r="M60" i="1" s="1"/>
  <c r="O60" i="1"/>
  <c r="C60" i="1"/>
  <c r="Q59" i="1"/>
  <c r="P59" i="1"/>
  <c r="O59" i="1" s="1"/>
  <c r="D59" i="1"/>
  <c r="Y59" i="1" s="1"/>
  <c r="C59" i="1"/>
  <c r="Q58" i="1"/>
  <c r="P58" i="1"/>
  <c r="O58" i="1" s="1"/>
  <c r="K58" i="1"/>
  <c r="Q57" i="1"/>
  <c r="P57" i="1"/>
  <c r="C57" i="1"/>
  <c r="Q56" i="1"/>
  <c r="P56" i="1"/>
  <c r="L56" i="1" s="1"/>
  <c r="C56" i="1"/>
  <c r="Q55" i="1"/>
  <c r="P55" i="1"/>
  <c r="L55" i="1" s="1"/>
  <c r="C55" i="1"/>
  <c r="Q54" i="1"/>
  <c r="P54" i="1"/>
  <c r="C54" i="1"/>
  <c r="Q53" i="1"/>
  <c r="P53" i="1"/>
  <c r="M53" i="1" s="1"/>
  <c r="C53" i="1"/>
  <c r="Q52" i="1"/>
  <c r="P52" i="1"/>
  <c r="C52" i="1"/>
  <c r="Q51" i="1"/>
  <c r="P51" i="1"/>
  <c r="I51" i="1"/>
  <c r="C51" i="1"/>
  <c r="Q50" i="1"/>
  <c r="P50" i="1"/>
  <c r="N50" i="1" s="1"/>
  <c r="C50" i="1"/>
  <c r="Q49" i="1"/>
  <c r="P49" i="1"/>
  <c r="C49" i="1"/>
  <c r="Q48" i="1"/>
  <c r="P48" i="1"/>
  <c r="M48" i="1" s="1"/>
  <c r="C48" i="1"/>
  <c r="Q47" i="1"/>
  <c r="P47" i="1"/>
  <c r="C47" i="1"/>
  <c r="Q46" i="1"/>
  <c r="P46" i="1"/>
  <c r="K46" i="1" s="1"/>
  <c r="N46" i="1"/>
  <c r="M46" i="1"/>
  <c r="L46" i="1"/>
  <c r="H46" i="1"/>
  <c r="D46" i="1"/>
  <c r="W46" i="1" s="1"/>
  <c r="C46" i="1"/>
  <c r="Q45" i="1"/>
  <c r="D45" i="1" s="1"/>
  <c r="Y45" i="1" s="1"/>
  <c r="P45" i="1"/>
  <c r="C45" i="1"/>
  <c r="Q44" i="1"/>
  <c r="P44" i="1"/>
  <c r="C44" i="1"/>
  <c r="Q43" i="1"/>
  <c r="P43" i="1"/>
  <c r="C43" i="1"/>
  <c r="Q42" i="1"/>
  <c r="P42" i="1"/>
  <c r="K42" i="1" s="1"/>
  <c r="C42" i="1"/>
  <c r="Q41" i="1"/>
  <c r="P41" i="1"/>
  <c r="C41" i="1"/>
  <c r="Q40" i="1"/>
  <c r="P40" i="1"/>
  <c r="O40" i="1" s="1"/>
  <c r="Q39" i="1"/>
  <c r="P39" i="1"/>
  <c r="O39" i="1" s="1"/>
  <c r="Q38" i="1"/>
  <c r="P38" i="1"/>
  <c r="Q37" i="1"/>
  <c r="P37" i="1"/>
  <c r="H37" i="1" s="1"/>
  <c r="M37" i="1"/>
  <c r="C37" i="1"/>
  <c r="Q36" i="1"/>
  <c r="P36" i="1"/>
  <c r="C36" i="1"/>
  <c r="Q35" i="1"/>
  <c r="P35" i="1"/>
  <c r="H35" i="1" s="1"/>
  <c r="M35" i="1"/>
  <c r="I35" i="1"/>
  <c r="I27" i="1" s="1"/>
  <c r="C35" i="1"/>
  <c r="Q34" i="1"/>
  <c r="P34" i="1"/>
  <c r="C34" i="1"/>
  <c r="Q33" i="1"/>
  <c r="P33" i="1"/>
  <c r="C33" i="1"/>
  <c r="Q32" i="1"/>
  <c r="P32" i="1"/>
  <c r="O32" i="1" s="1"/>
  <c r="C32" i="1"/>
  <c r="Q31" i="1"/>
  <c r="P31" i="1"/>
  <c r="C31" i="1"/>
  <c r="Q30" i="1"/>
  <c r="P30" i="1"/>
  <c r="M30" i="1" s="1"/>
  <c r="Q29" i="1"/>
  <c r="P29" i="1"/>
  <c r="Q28" i="1"/>
  <c r="P28" i="1"/>
  <c r="N28" i="1" s="1"/>
  <c r="L28" i="1"/>
  <c r="C28" i="1"/>
  <c r="Q27" i="1"/>
  <c r="P27" i="1"/>
  <c r="C27" i="1"/>
  <c r="Q26" i="1"/>
  <c r="P26" i="1"/>
  <c r="O26" i="1" s="1"/>
  <c r="M26" i="1"/>
  <c r="K26" i="1"/>
  <c r="Q25" i="1"/>
  <c r="P25" i="1"/>
  <c r="Q24" i="1"/>
  <c r="P24" i="1"/>
  <c r="Q23" i="1"/>
  <c r="P23" i="1"/>
  <c r="N23" i="1" s="1"/>
  <c r="Q22" i="1"/>
  <c r="P22" i="1"/>
  <c r="Q21" i="1"/>
  <c r="P21" i="1"/>
  <c r="K21" i="1" s="1"/>
  <c r="L21" i="1"/>
  <c r="I21" i="1"/>
  <c r="I18" i="1" s="1"/>
  <c r="C21" i="1"/>
  <c r="Q20" i="1"/>
  <c r="P20" i="1"/>
  <c r="C20" i="1"/>
  <c r="Q19" i="1"/>
  <c r="P19" i="1"/>
  <c r="N19" i="1" s="1"/>
  <c r="C19" i="1"/>
  <c r="Q18" i="1"/>
  <c r="P18" i="1"/>
  <c r="C18" i="1"/>
  <c r="Q17" i="1"/>
  <c r="P17" i="1"/>
  <c r="O17" i="1" s="1"/>
  <c r="C17" i="1"/>
  <c r="Q16" i="1"/>
  <c r="P16" i="1"/>
  <c r="C16" i="1"/>
  <c r="Q15" i="1"/>
  <c r="P15" i="1"/>
  <c r="N15" i="1" s="1"/>
  <c r="Q14" i="1"/>
  <c r="P14" i="1"/>
  <c r="Q13" i="1"/>
  <c r="P13" i="1"/>
  <c r="K13" i="1" s="1"/>
  <c r="M13" i="1"/>
  <c r="I13" i="1"/>
  <c r="I11" i="1" s="1"/>
  <c r="C13" i="1"/>
  <c r="Q12" i="1"/>
  <c r="P12" i="1"/>
  <c r="K12" i="1"/>
  <c r="C12" i="1"/>
  <c r="Q11" i="1"/>
  <c r="P11" i="1"/>
  <c r="C11" i="1"/>
  <c r="Q10" i="1"/>
  <c r="P10" i="1"/>
  <c r="C10" i="1"/>
  <c r="F9" i="1"/>
  <c r="D9" i="1" s="1"/>
  <c r="V8" i="1" s="1"/>
  <c r="K8" i="1"/>
  <c r="H8" i="1"/>
  <c r="A1" i="1"/>
  <c r="A3" i="1"/>
  <c r="L13" i="1" l="1"/>
  <c r="L37" i="1"/>
  <c r="N60" i="1"/>
  <c r="L62" i="1"/>
  <c r="L61" i="1" s="1"/>
  <c r="M88" i="1"/>
  <c r="M87" i="1" s="1"/>
  <c r="K130" i="1"/>
  <c r="N166" i="1"/>
  <c r="D168" i="1"/>
  <c r="K121" i="1"/>
  <c r="O130" i="1"/>
  <c r="H141" i="1"/>
  <c r="O67" i="1"/>
  <c r="H172" i="1"/>
  <c r="H138" i="1"/>
  <c r="N168" i="1"/>
  <c r="M170" i="1"/>
  <c r="M169" i="1" s="1"/>
  <c r="K101" i="1"/>
  <c r="D105" i="1"/>
  <c r="W105" i="1" s="1"/>
  <c r="D122" i="1"/>
  <c r="D121" i="1" s="1"/>
  <c r="K138" i="1"/>
  <c r="D153" i="1"/>
  <c r="D152" i="1" s="1"/>
  <c r="O168" i="1"/>
  <c r="D60" i="1"/>
  <c r="W60" i="1" s="1"/>
  <c r="D13" i="1"/>
  <c r="D12" i="1" s="1"/>
  <c r="D48" i="1"/>
  <c r="Y48" i="1" s="1"/>
  <c r="L60" i="1"/>
  <c r="D78" i="1"/>
  <c r="Y78" i="1" s="1"/>
  <c r="K86" i="1"/>
  <c r="K85" i="1" s="1"/>
  <c r="K92" i="1"/>
  <c r="O106" i="1"/>
  <c r="L108" i="1"/>
  <c r="L110" i="1"/>
  <c r="L64" i="1"/>
  <c r="H78" i="1"/>
  <c r="E78" i="1" s="1"/>
  <c r="V78" i="1" s="1"/>
  <c r="D80" i="1"/>
  <c r="D88" i="1"/>
  <c r="Y88" i="1" s="1"/>
  <c r="N108" i="1"/>
  <c r="H130" i="1"/>
  <c r="F137" i="1"/>
  <c r="H121" i="1"/>
  <c r="K149" i="1"/>
  <c r="K148" i="1" s="1"/>
  <c r="H153" i="1"/>
  <c r="E153" i="1" s="1"/>
  <c r="L172" i="1"/>
  <c r="N13" i="1"/>
  <c r="N12" i="1" s="1"/>
  <c r="D21" i="1"/>
  <c r="M28" i="1"/>
  <c r="N37" i="1"/>
  <c r="F37" i="1" s="1"/>
  <c r="O48" i="1"/>
  <c r="O47" i="1" s="1"/>
  <c r="N68" i="1"/>
  <c r="N67" i="1" s="1"/>
  <c r="I74" i="1"/>
  <c r="H88" i="1"/>
  <c r="O89" i="1"/>
  <c r="D106" i="1"/>
  <c r="D113" i="1"/>
  <c r="N122" i="1"/>
  <c r="N121" i="1" s="1"/>
  <c r="L140" i="1"/>
  <c r="N141" i="1"/>
  <c r="N142" i="1"/>
  <c r="L144" i="1"/>
  <c r="N149" i="1"/>
  <c r="O153" i="1"/>
  <c r="L155" i="1"/>
  <c r="N172" i="1"/>
  <c r="O13" i="1"/>
  <c r="F13" i="1" s="1"/>
  <c r="F12" i="1" s="1"/>
  <c r="H21" i="1"/>
  <c r="H20" i="1" s="1"/>
  <c r="O37" i="1"/>
  <c r="N45" i="1"/>
  <c r="D58" i="1"/>
  <c r="Y58" i="1" s="1"/>
  <c r="D73" i="1"/>
  <c r="Y73" i="1" s="1"/>
  <c r="H95" i="1"/>
  <c r="H94" i="1" s="1"/>
  <c r="H99" i="1"/>
  <c r="D101" i="1"/>
  <c r="Y101" i="1" s="1"/>
  <c r="H106" i="1"/>
  <c r="E106" i="1" s="1"/>
  <c r="D124" i="1"/>
  <c r="K136" i="1"/>
  <c r="M140" i="1"/>
  <c r="O141" i="1"/>
  <c r="O144" i="1"/>
  <c r="O149" i="1"/>
  <c r="O148" i="1" s="1"/>
  <c r="M155" i="1"/>
  <c r="N36" i="1"/>
  <c r="H36" i="1"/>
  <c r="H58" i="1"/>
  <c r="H63" i="1"/>
  <c r="K73" i="1"/>
  <c r="N95" i="1"/>
  <c r="K99" i="1"/>
  <c r="H101" i="1"/>
  <c r="M104" i="1"/>
  <c r="K106" i="1"/>
  <c r="D116" i="1"/>
  <c r="H124" i="1"/>
  <c r="H123" i="1" s="1"/>
  <c r="D130" i="1"/>
  <c r="D129" i="1" s="1"/>
  <c r="L136" i="1"/>
  <c r="D32" i="1"/>
  <c r="Y32" i="1" s="1"/>
  <c r="M34" i="1"/>
  <c r="D47" i="1"/>
  <c r="Y47" i="1" s="1"/>
  <c r="L73" i="1"/>
  <c r="O77" i="1"/>
  <c r="K124" i="1"/>
  <c r="O152" i="1"/>
  <c r="O157" i="1"/>
  <c r="D165" i="1"/>
  <c r="F169" i="1"/>
  <c r="H13" i="1"/>
  <c r="H12" i="1" s="1"/>
  <c r="M25" i="1"/>
  <c r="N73" i="1"/>
  <c r="L101" i="1"/>
  <c r="L124" i="1"/>
  <c r="L123" i="1" s="1"/>
  <c r="H126" i="1"/>
  <c r="H125" i="1" s="1"/>
  <c r="K165" i="1"/>
  <c r="F165" i="1" s="1"/>
  <c r="O25" i="1"/>
  <c r="K37" i="1"/>
  <c r="L45" i="1"/>
  <c r="M47" i="1"/>
  <c r="M108" i="1"/>
  <c r="K110" i="1"/>
  <c r="M124" i="1"/>
  <c r="M123" i="1" s="1"/>
  <c r="N126" i="1"/>
  <c r="N125" i="1" s="1"/>
  <c r="N130" i="1"/>
  <c r="L138" i="1"/>
  <c r="H142" i="1"/>
  <c r="D145" i="1"/>
  <c r="D149" i="1"/>
  <c r="D148" i="1" s="1"/>
  <c r="F161" i="1"/>
  <c r="D164" i="1"/>
  <c r="M165" i="1"/>
  <c r="D172" i="1"/>
  <c r="D171" i="1" s="1"/>
  <c r="F173" i="1"/>
  <c r="O31" i="1"/>
  <c r="O16" i="1"/>
  <c r="O36" i="1"/>
  <c r="K20" i="1"/>
  <c r="M21" i="1"/>
  <c r="M20" i="1" s="1"/>
  <c r="H32" i="1"/>
  <c r="H31" i="1" s="1"/>
  <c r="M45" i="1"/>
  <c r="H48" i="1"/>
  <c r="L58" i="1"/>
  <c r="F58" i="1" s="1"/>
  <c r="H66" i="1"/>
  <c r="H65" i="1" s="1"/>
  <c r="K80" i="1"/>
  <c r="K79" i="1" s="1"/>
  <c r="M91" i="1"/>
  <c r="I95" i="1"/>
  <c r="H158" i="1"/>
  <c r="D17" i="1"/>
  <c r="Y17" i="1" s="1"/>
  <c r="N21" i="1"/>
  <c r="N20" i="1" s="1"/>
  <c r="K32" i="1"/>
  <c r="D37" i="1"/>
  <c r="Y37" i="1" s="1"/>
  <c r="K40" i="1"/>
  <c r="K39" i="1" s="1"/>
  <c r="K48" i="1"/>
  <c r="D53" i="1"/>
  <c r="N58" i="1"/>
  <c r="M61" i="1"/>
  <c r="K66" i="1"/>
  <c r="K70" i="1"/>
  <c r="K78" i="1"/>
  <c r="K77" i="1" s="1"/>
  <c r="L80" i="1"/>
  <c r="L79" i="1" s="1"/>
  <c r="L103" i="1"/>
  <c r="L106" i="1"/>
  <c r="M110" i="1"/>
  <c r="M116" i="1"/>
  <c r="L122" i="1"/>
  <c r="K126" i="1"/>
  <c r="L130" i="1"/>
  <c r="F130" i="1" s="1"/>
  <c r="F129" i="1" s="1"/>
  <c r="D144" i="1"/>
  <c r="H145" i="1"/>
  <c r="K153" i="1"/>
  <c r="K158" i="1"/>
  <c r="K157" i="1" s="1"/>
  <c r="D162" i="1"/>
  <c r="N165" i="1"/>
  <c r="O172" i="1"/>
  <c r="L174" i="1"/>
  <c r="L173" i="1" s="1"/>
  <c r="D176" i="1"/>
  <c r="H17" i="1"/>
  <c r="H16" i="1" s="1"/>
  <c r="O21" i="1"/>
  <c r="L32" i="1"/>
  <c r="L40" i="1"/>
  <c r="K45" i="1"/>
  <c r="L48" i="1"/>
  <c r="L47" i="1" s="1"/>
  <c r="M52" i="1"/>
  <c r="K53" i="1"/>
  <c r="K52" i="1" s="1"/>
  <c r="N66" i="1"/>
  <c r="N69" i="1"/>
  <c r="L70" i="1"/>
  <c r="L78" i="1"/>
  <c r="M80" i="1"/>
  <c r="O83" i="1"/>
  <c r="D90" i="1"/>
  <c r="D95" i="1"/>
  <c r="D94" i="1" s="1"/>
  <c r="W94" i="1" s="1"/>
  <c r="M103" i="1"/>
  <c r="F105" i="1"/>
  <c r="M106" i="1"/>
  <c r="N110" i="1"/>
  <c r="N116" i="1"/>
  <c r="N115" i="1" s="1"/>
  <c r="M118" i="1"/>
  <c r="M117" i="1" s="1"/>
  <c r="D120" i="1"/>
  <c r="D119" i="1" s="1"/>
  <c r="M122" i="1"/>
  <c r="M121" i="1" s="1"/>
  <c r="O123" i="1"/>
  <c r="K145" i="1"/>
  <c r="L153" i="1"/>
  <c r="F154" i="1"/>
  <c r="M158" i="1"/>
  <c r="H162" i="1"/>
  <c r="E162" i="1" s="1"/>
  <c r="L163" i="1"/>
  <c r="O165" i="1"/>
  <c r="K168" i="1"/>
  <c r="N173" i="1"/>
  <c r="H176" i="1"/>
  <c r="K17" i="1"/>
  <c r="K16" i="1" s="1"/>
  <c r="M32" i="1"/>
  <c r="M31" i="1" s="1"/>
  <c r="M40" i="1"/>
  <c r="D42" i="1"/>
  <c r="Y42" i="1" s="1"/>
  <c r="N48" i="1"/>
  <c r="N47" i="1" s="1"/>
  <c r="L53" i="1"/>
  <c r="L52" i="1" s="1"/>
  <c r="D56" i="1"/>
  <c r="W56" i="1" s="1"/>
  <c r="M70" i="1"/>
  <c r="M69" i="1" s="1"/>
  <c r="M78" i="1"/>
  <c r="M77" i="1" s="1"/>
  <c r="D82" i="1"/>
  <c r="H90" i="1"/>
  <c r="E90" i="1" s="1"/>
  <c r="E89" i="1" s="1"/>
  <c r="AA89" i="1" s="1"/>
  <c r="O120" i="1"/>
  <c r="M129" i="1"/>
  <c r="L145" i="1"/>
  <c r="K152" i="1"/>
  <c r="N153" i="1"/>
  <c r="N152" i="1" s="1"/>
  <c r="N158" i="1"/>
  <c r="L162" i="1"/>
  <c r="M176" i="1"/>
  <c r="M175" i="1" s="1"/>
  <c r="M16" i="1"/>
  <c r="L17" i="1"/>
  <c r="L16" i="1" s="1"/>
  <c r="K31" i="1"/>
  <c r="N32" i="1"/>
  <c r="M36" i="1"/>
  <c r="N40" i="1"/>
  <c r="N39" i="1" s="1"/>
  <c r="N42" i="1"/>
  <c r="Y46" i="1"/>
  <c r="N53" i="1"/>
  <c r="N52" i="1" s="1"/>
  <c r="H56" i="1"/>
  <c r="H55" i="1" s="1"/>
  <c r="N78" i="1"/>
  <c r="O80" i="1"/>
  <c r="O79" i="1" s="1"/>
  <c r="N82" i="1"/>
  <c r="K90" i="1"/>
  <c r="O121" i="1"/>
  <c r="D128" i="1"/>
  <c r="D127" i="1" s="1"/>
  <c r="M162" i="1"/>
  <c r="O176" i="1"/>
  <c r="O175" i="1" s="1"/>
  <c r="M181" i="1"/>
  <c r="M180" i="1" s="1"/>
  <c r="I10" i="1"/>
  <c r="M17" i="1"/>
  <c r="H30" i="1"/>
  <c r="H29" i="1" s="1"/>
  <c r="O42" i="1"/>
  <c r="O41" i="1" s="1"/>
  <c r="H50" i="1"/>
  <c r="E50" i="1" s="1"/>
  <c r="K51" i="1"/>
  <c r="O53" i="1"/>
  <c r="O51" i="1" s="1"/>
  <c r="K56" i="1"/>
  <c r="K55" i="1" s="1"/>
  <c r="K84" i="1"/>
  <c r="L90" i="1"/>
  <c r="L89" i="1" s="1"/>
  <c r="O94" i="1"/>
  <c r="K128" i="1"/>
  <c r="K127" i="1" s="1"/>
  <c r="O145" i="1"/>
  <c r="N162" i="1"/>
  <c r="L175" i="1"/>
  <c r="L30" i="1"/>
  <c r="L29" i="1" s="1"/>
  <c r="K36" i="1"/>
  <c r="M50" i="1"/>
  <c r="M56" i="1"/>
  <c r="M55" i="1" s="1"/>
  <c r="N84" i="1"/>
  <c r="N83" i="1" s="1"/>
  <c r="D111" i="1"/>
  <c r="L128" i="1"/>
  <c r="L127" i="1" s="1"/>
  <c r="O162" i="1"/>
  <c r="H165" i="1"/>
  <c r="L167" i="1"/>
  <c r="K172" i="1"/>
  <c r="F175" i="1"/>
  <c r="M178" i="1"/>
  <c r="M12" i="1"/>
  <c r="N14" i="1"/>
  <c r="K19" i="1"/>
  <c r="N22" i="1"/>
  <c r="N26" i="1"/>
  <c r="N25" i="1" s="1"/>
  <c r="L31" i="1"/>
  <c r="X8" i="1"/>
  <c r="W17" i="1"/>
  <c r="L19" i="1"/>
  <c r="L18" i="1" s="1"/>
  <c r="D26" i="1"/>
  <c r="D25" i="1" s="1"/>
  <c r="D31" i="1"/>
  <c r="W32" i="1"/>
  <c r="H33" i="1"/>
  <c r="M33" i="1"/>
  <c r="M44" i="1"/>
  <c r="M43" i="1" s="1"/>
  <c r="L44" i="1"/>
  <c r="L43" i="1" s="1"/>
  <c r="K44" i="1"/>
  <c r="H44" i="1"/>
  <c r="O44" i="1"/>
  <c r="O43" i="1" s="1"/>
  <c r="D44" i="1"/>
  <c r="D43" i="1" s="1"/>
  <c r="H43" i="1"/>
  <c r="N44" i="1"/>
  <c r="N38" i="1" s="1"/>
  <c r="E66" i="1"/>
  <c r="AA66" i="1" s="1"/>
  <c r="E122" i="1"/>
  <c r="E121" i="1" s="1"/>
  <c r="E105" i="1"/>
  <c r="AA105" i="1" s="1"/>
  <c r="E80" i="1"/>
  <c r="AA80" i="1" s="1"/>
  <c r="E58" i="1"/>
  <c r="E86" i="1"/>
  <c r="AA86" i="1" s="1"/>
  <c r="Z8" i="1"/>
  <c r="L12" i="1"/>
  <c r="O12" i="1"/>
  <c r="H15" i="1"/>
  <c r="M19" i="1"/>
  <c r="L20" i="1"/>
  <c r="O20" i="1"/>
  <c r="D20" i="1"/>
  <c r="F21" i="1"/>
  <c r="F20" i="1" s="1"/>
  <c r="H23" i="1"/>
  <c r="E23" i="1" s="1"/>
  <c r="K25" i="1"/>
  <c r="O28" i="1"/>
  <c r="O27" i="1" s="1"/>
  <c r="D28" i="1"/>
  <c r="D27" i="1" s="1"/>
  <c r="K28" i="1"/>
  <c r="K27" i="1" s="1"/>
  <c r="H28" i="1"/>
  <c r="H27" i="1" s="1"/>
  <c r="K30" i="1"/>
  <c r="O30" i="1"/>
  <c r="O29" i="1" s="1"/>
  <c r="D30" i="1"/>
  <c r="D24" i="1" s="1"/>
  <c r="N30" i="1"/>
  <c r="E37" i="1"/>
  <c r="E48" i="1"/>
  <c r="E47" i="1" s="1"/>
  <c r="K15" i="1"/>
  <c r="E21" i="1"/>
  <c r="V21" i="1" s="1"/>
  <c r="W21" i="1" s="1"/>
  <c r="K23" i="1"/>
  <c r="H26" i="1"/>
  <c r="H24" i="1" s="1"/>
  <c r="L35" i="1"/>
  <c r="L33" i="1" s="1"/>
  <c r="K35" i="1"/>
  <c r="K34" i="1" s="1"/>
  <c r="O35" i="1"/>
  <c r="O34" i="1" s="1"/>
  <c r="E35" i="1"/>
  <c r="E34" i="1" s="1"/>
  <c r="N35" i="1"/>
  <c r="N33" i="1" s="1"/>
  <c r="D35" i="1"/>
  <c r="D33" i="1" s="1"/>
  <c r="V185" i="1"/>
  <c r="E9" i="1"/>
  <c r="M15" i="1"/>
  <c r="M14" i="1" s="1"/>
  <c r="N18" i="1"/>
  <c r="O19" i="1"/>
  <c r="O18" i="1" s="1"/>
  <c r="D19" i="1"/>
  <c r="D18" i="1" s="1"/>
  <c r="H19" i="1"/>
  <c r="H18" i="1" s="1"/>
  <c r="K22" i="1"/>
  <c r="M23" i="1"/>
  <c r="M22" i="1" s="1"/>
  <c r="L27" i="1"/>
  <c r="N41" i="1"/>
  <c r="N17" i="1"/>
  <c r="N16" i="1" s="1"/>
  <c r="L26" i="1"/>
  <c r="L25" i="1" s="1"/>
  <c r="N31" i="1"/>
  <c r="K41" i="1"/>
  <c r="L15" i="1"/>
  <c r="O15" i="1"/>
  <c r="D15" i="1"/>
  <c r="M18" i="1"/>
  <c r="L23" i="1"/>
  <c r="L22" i="1" s="1"/>
  <c r="O23" i="1"/>
  <c r="O22" i="1" s="1"/>
  <c r="D23" i="1"/>
  <c r="D22" i="1" s="1"/>
  <c r="N27" i="1"/>
  <c r="M27" i="1"/>
  <c r="E46" i="1"/>
  <c r="AA46" i="1" s="1"/>
  <c r="O65" i="1"/>
  <c r="M29" i="1"/>
  <c r="E32" i="1"/>
  <c r="V32" i="1" s="1"/>
  <c r="E44" i="1"/>
  <c r="AA44" i="1" s="1"/>
  <c r="H34" i="1"/>
  <c r="L39" i="1"/>
  <c r="H40" i="1"/>
  <c r="E40" i="1" s="1"/>
  <c r="D41" i="1"/>
  <c r="L42" i="1"/>
  <c r="L41" i="1" s="1"/>
  <c r="M51" i="1"/>
  <c r="H53" i="1"/>
  <c r="H51" i="1" s="1"/>
  <c r="E56" i="1"/>
  <c r="D57" i="1"/>
  <c r="K60" i="1"/>
  <c r="F60" i="1" s="1"/>
  <c r="H60" i="1"/>
  <c r="E60" i="1" s="1"/>
  <c r="AA60" i="1" s="1"/>
  <c r="D66" i="1"/>
  <c r="K67" i="1"/>
  <c r="L68" i="1"/>
  <c r="L67" i="1" s="1"/>
  <c r="H68" i="1"/>
  <c r="H67" i="1" s="1"/>
  <c r="L69" i="1"/>
  <c r="L72" i="1"/>
  <c r="L71" i="1" s="1"/>
  <c r="F73" i="1"/>
  <c r="H73" i="1"/>
  <c r="H54" i="1" s="1"/>
  <c r="K75" i="1"/>
  <c r="L36" i="1"/>
  <c r="M39" i="1"/>
  <c r="M42" i="1"/>
  <c r="W45" i="1"/>
  <c r="H47" i="1"/>
  <c r="O50" i="1"/>
  <c r="O49" i="1" s="1"/>
  <c r="D50" i="1"/>
  <c r="N51" i="1"/>
  <c r="N59" i="1"/>
  <c r="M59" i="1"/>
  <c r="M57" i="1" s="1"/>
  <c r="H61" i="1"/>
  <c r="N65" i="1"/>
  <c r="M72" i="1"/>
  <c r="V70" i="1"/>
  <c r="W70" i="1" s="1"/>
  <c r="N72" i="1"/>
  <c r="N71" i="1" s="1"/>
  <c r="H76" i="1"/>
  <c r="E76" i="1" s="1"/>
  <c r="W82" i="1"/>
  <c r="Y82" i="1"/>
  <c r="V68" i="1"/>
  <c r="W68" i="1" s="1"/>
  <c r="W73" i="1"/>
  <c r="Y94" i="1"/>
  <c r="D36" i="1"/>
  <c r="W37" i="1"/>
  <c r="Y56" i="1"/>
  <c r="Y60" i="1"/>
  <c r="K62" i="1"/>
  <c r="K61" i="1" s="1"/>
  <c r="O62" i="1"/>
  <c r="O61" i="1" s="1"/>
  <c r="N62" i="1"/>
  <c r="N61" i="1" s="1"/>
  <c r="O64" i="1"/>
  <c r="O63" i="1" s="1"/>
  <c r="D64" i="1"/>
  <c r="N64" i="1"/>
  <c r="N63" i="1" s="1"/>
  <c r="M64" i="1"/>
  <c r="H69" i="1"/>
  <c r="K69" i="1"/>
  <c r="K72" i="1"/>
  <c r="K71" i="1" s="1"/>
  <c r="O76" i="1"/>
  <c r="O75" i="1" s="1"/>
  <c r="D76" i="1"/>
  <c r="D75" i="1" s="1"/>
  <c r="N76" i="1"/>
  <c r="N75" i="1" s="1"/>
  <c r="M76" i="1"/>
  <c r="L76" i="1"/>
  <c r="L75" i="1" s="1"/>
  <c r="W80" i="1"/>
  <c r="H85" i="1"/>
  <c r="M85" i="1"/>
  <c r="E85" i="1"/>
  <c r="AA85" i="1" s="1"/>
  <c r="E99" i="1"/>
  <c r="AA99" i="1" s="1"/>
  <c r="D40" i="1"/>
  <c r="O46" i="1"/>
  <c r="O45" i="1" s="1"/>
  <c r="K50" i="1"/>
  <c r="N56" i="1"/>
  <c r="N55" i="1" s="1"/>
  <c r="H59" i="1"/>
  <c r="W59" i="1"/>
  <c r="K63" i="1"/>
  <c r="O81" i="1"/>
  <c r="D81" i="1"/>
  <c r="N81" i="1"/>
  <c r="L82" i="1"/>
  <c r="L81" i="1" s="1"/>
  <c r="K82" i="1"/>
  <c r="K81" i="1" s="1"/>
  <c r="M82" i="1"/>
  <c r="M81" i="1" s="1"/>
  <c r="H82" i="1"/>
  <c r="K83" i="1"/>
  <c r="N87" i="1"/>
  <c r="H87" i="1"/>
  <c r="M41" i="1"/>
  <c r="H42" i="1"/>
  <c r="M49" i="1"/>
  <c r="L50" i="1"/>
  <c r="D55" i="1"/>
  <c r="O56" i="1"/>
  <c r="K59" i="1"/>
  <c r="K57" i="1" s="1"/>
  <c r="D62" i="1"/>
  <c r="D61" i="1" s="1"/>
  <c r="L63" i="1"/>
  <c r="M66" i="1"/>
  <c r="M65" i="1" s="1"/>
  <c r="L66" i="1"/>
  <c r="L65" i="1" s="1"/>
  <c r="D67" i="1"/>
  <c r="D69" i="1"/>
  <c r="O71" i="1"/>
  <c r="D72" i="1"/>
  <c r="D71" i="1" s="1"/>
  <c r="H75" i="1"/>
  <c r="H45" i="1"/>
  <c r="N49" i="1"/>
  <c r="L51" i="1"/>
  <c r="O57" i="1"/>
  <c r="L59" i="1"/>
  <c r="E62" i="1"/>
  <c r="AA62" i="1" s="1"/>
  <c r="E64" i="1"/>
  <c r="K65" i="1"/>
  <c r="E67" i="1"/>
  <c r="E69" i="1"/>
  <c r="M71" i="1"/>
  <c r="H72" i="1"/>
  <c r="L77" i="1"/>
  <c r="N77" i="1"/>
  <c r="N79" i="1"/>
  <c r="M79" i="1"/>
  <c r="H79" i="1"/>
  <c r="E79" i="1"/>
  <c r="AA79" i="1" s="1"/>
  <c r="F80" i="1"/>
  <c r="F79" i="1" s="1"/>
  <c r="D102" i="1"/>
  <c r="F106" i="1"/>
  <c r="Y95" i="1"/>
  <c r="M102" i="1"/>
  <c r="L102" i="1"/>
  <c r="K102" i="1"/>
  <c r="E102" i="1"/>
  <c r="AA102" i="1" s="1"/>
  <c r="O102" i="1"/>
  <c r="N102" i="1"/>
  <c r="Z105" i="1"/>
  <c r="M107" i="1"/>
  <c r="L107" i="1"/>
  <c r="K107" i="1"/>
  <c r="H107" i="1"/>
  <c r="E107" i="1" s="1"/>
  <c r="AA107" i="1" s="1"/>
  <c r="O107" i="1"/>
  <c r="N107" i="1"/>
  <c r="D107" i="1"/>
  <c r="H84" i="1"/>
  <c r="M84" i="1"/>
  <c r="M83" i="1" s="1"/>
  <c r="L84" i="1"/>
  <c r="K88" i="1"/>
  <c r="O88" i="1"/>
  <c r="O87" i="1" s="1"/>
  <c r="L88" i="1"/>
  <c r="L87" i="1" s="1"/>
  <c r="E88" i="1"/>
  <c r="AA88" i="1" s="1"/>
  <c r="K91" i="1"/>
  <c r="W95" i="1"/>
  <c r="H98" i="1"/>
  <c r="K98" i="1"/>
  <c r="M98" i="1"/>
  <c r="F78" i="1"/>
  <c r="L86" i="1"/>
  <c r="O86" i="1"/>
  <c r="O85" i="1" s="1"/>
  <c r="D86" i="1"/>
  <c r="N86" i="1"/>
  <c r="N85" i="1" s="1"/>
  <c r="F70" i="1"/>
  <c r="D84" i="1"/>
  <c r="O92" i="1"/>
  <c r="O91" i="1" s="1"/>
  <c r="N92" i="1"/>
  <c r="N91" i="1" s="1"/>
  <c r="D92" i="1"/>
  <c r="L92" i="1"/>
  <c r="H92" i="1"/>
  <c r="E92" i="1" s="1"/>
  <c r="E95" i="1"/>
  <c r="AA95" i="1" s="1"/>
  <c r="N97" i="1"/>
  <c r="M97" i="1"/>
  <c r="M96" i="1" s="1"/>
  <c r="K97" i="1"/>
  <c r="K96" i="1" s="1"/>
  <c r="D97" i="1"/>
  <c r="O97" i="1"/>
  <c r="L96" i="1"/>
  <c r="H97" i="1"/>
  <c r="E97" i="1" s="1"/>
  <c r="E101" i="1"/>
  <c r="N90" i="1"/>
  <c r="N89" i="1" s="1"/>
  <c r="M90" i="1"/>
  <c r="M89" i="1" s="1"/>
  <c r="H104" i="1"/>
  <c r="E104" i="1" s="1"/>
  <c r="AA104" i="1" s="1"/>
  <c r="H109" i="1"/>
  <c r="E109" i="1" s="1"/>
  <c r="N111" i="1"/>
  <c r="H114" i="1"/>
  <c r="H113" i="1" s="1"/>
  <c r="M95" i="1"/>
  <c r="M94" i="1" s="1"/>
  <c r="L95" i="1"/>
  <c r="L94" i="1" s="1"/>
  <c r="O113" i="1"/>
  <c r="N114" i="1"/>
  <c r="N113" i="1" s="1"/>
  <c r="N117" i="1"/>
  <c r="O109" i="1"/>
  <c r="D109" i="1"/>
  <c r="N109" i="1"/>
  <c r="M109" i="1"/>
  <c r="L109" i="1"/>
  <c r="E110" i="1"/>
  <c r="M111" i="1"/>
  <c r="L111" i="1"/>
  <c r="K111" i="1"/>
  <c r="H111" i="1"/>
  <c r="E111" i="1" s="1"/>
  <c r="K89" i="1"/>
  <c r="O104" i="1"/>
  <c r="D104" i="1"/>
  <c r="N104" i="1"/>
  <c r="L104" i="1"/>
  <c r="M114" i="1"/>
  <c r="L114" i="1"/>
  <c r="L113" i="1" s="1"/>
  <c r="K114" i="1"/>
  <c r="K113" i="1" s="1"/>
  <c r="O115" i="1"/>
  <c r="D115" i="1"/>
  <c r="M115" i="1"/>
  <c r="I114" i="1"/>
  <c r="M125" i="1"/>
  <c r="K125" i="1"/>
  <c r="K95" i="1"/>
  <c r="W101" i="1"/>
  <c r="H103" i="1"/>
  <c r="E103" i="1" s="1"/>
  <c r="AA103" i="1" s="1"/>
  <c r="O103" i="1"/>
  <c r="F103" i="1" s="1"/>
  <c r="D103" i="1"/>
  <c r="Y105" i="1"/>
  <c r="O118" i="1"/>
  <c r="O117" i="1" s="1"/>
  <c r="D118" i="1"/>
  <c r="L118" i="1"/>
  <c r="K118" i="1"/>
  <c r="K117" i="1" s="1"/>
  <c r="H118" i="1"/>
  <c r="E118" i="1" s="1"/>
  <c r="E117" i="1" s="1"/>
  <c r="E124" i="1"/>
  <c r="E123" i="1" s="1"/>
  <c r="O99" i="1"/>
  <c r="O98" i="1" s="1"/>
  <c r="D99" i="1"/>
  <c r="D98" i="1" s="1"/>
  <c r="N99" i="1"/>
  <c r="N98" i="1" s="1"/>
  <c r="L99" i="1"/>
  <c r="L98" i="1" s="1"/>
  <c r="E108" i="1"/>
  <c r="AA108" i="1" s="1"/>
  <c r="E141" i="1"/>
  <c r="O135" i="1"/>
  <c r="N139" i="1"/>
  <c r="K139" i="1"/>
  <c r="O139" i="1"/>
  <c r="D139" i="1"/>
  <c r="E142" i="1"/>
  <c r="E145" i="1"/>
  <c r="N94" i="1"/>
  <c r="N96" i="1"/>
  <c r="N101" i="1"/>
  <c r="F101" i="1" s="1"/>
  <c r="D108" i="1"/>
  <c r="O108" i="1"/>
  <c r="F108" i="1" s="1"/>
  <c r="D110" i="1"/>
  <c r="O110" i="1"/>
  <c r="H120" i="1"/>
  <c r="E120" i="1" s="1"/>
  <c r="K123" i="1"/>
  <c r="O126" i="1"/>
  <c r="O125" i="1" s="1"/>
  <c r="D126" i="1"/>
  <c r="L126" i="1"/>
  <c r="L125" i="1" s="1"/>
  <c r="F132" i="1"/>
  <c r="M136" i="1"/>
  <c r="H136" i="1"/>
  <c r="E136" i="1" s="1"/>
  <c r="E135" i="1" s="1"/>
  <c r="N136" i="1"/>
  <c r="E138" i="1"/>
  <c r="F146" i="1"/>
  <c r="E149" i="1"/>
  <c r="E148" i="1" s="1"/>
  <c r="F150" i="1"/>
  <c r="L160" i="1"/>
  <c r="L159" i="1" s="1"/>
  <c r="K160" i="1"/>
  <c r="H160" i="1"/>
  <c r="H159" i="1" s="1"/>
  <c r="O160" i="1"/>
  <c r="O159" i="1" s="1"/>
  <c r="D160" i="1"/>
  <c r="D159" i="1" s="1"/>
  <c r="M160" i="1"/>
  <c r="M159" i="1" s="1"/>
  <c r="M171" i="1"/>
  <c r="H116" i="1"/>
  <c r="H115" i="1" s="1"/>
  <c r="O119" i="1"/>
  <c r="K120" i="1"/>
  <c r="D123" i="1"/>
  <c r="H129" i="1"/>
  <c r="N133" i="1"/>
  <c r="H134" i="1"/>
  <c r="N140" i="1"/>
  <c r="H140" i="1"/>
  <c r="E140" i="1" s="1"/>
  <c r="E158" i="1"/>
  <c r="F168" i="1"/>
  <c r="F167" i="1" s="1"/>
  <c r="E176" i="1"/>
  <c r="E175" i="1" s="1"/>
  <c r="F110" i="1"/>
  <c r="K116" i="1"/>
  <c r="L120" i="1"/>
  <c r="L119" i="1" s="1"/>
  <c r="O127" i="1"/>
  <c r="N128" i="1"/>
  <c r="N127" i="1" s="1"/>
  <c r="K129" i="1"/>
  <c r="K134" i="1"/>
  <c r="K133" i="1" s="1"/>
  <c r="F135" i="1"/>
  <c r="D136" i="1"/>
  <c r="L141" i="1"/>
  <c r="M141" i="1"/>
  <c r="M137" i="1" s="1"/>
  <c r="M146" i="1"/>
  <c r="L147" i="1"/>
  <c r="L146" i="1" s="1"/>
  <c r="L148" i="1"/>
  <c r="M150" i="1"/>
  <c r="L151" i="1"/>
  <c r="L150" i="1" s="1"/>
  <c r="L152" i="1"/>
  <c r="H157" i="1"/>
  <c r="L116" i="1"/>
  <c r="L115" i="1" s="1"/>
  <c r="L117" i="1"/>
  <c r="N120" i="1"/>
  <c r="N119" i="1" s="1"/>
  <c r="N124" i="1"/>
  <c r="F133" i="1"/>
  <c r="M134" i="1"/>
  <c r="M133" i="1" s="1"/>
  <c r="K135" i="1"/>
  <c r="D140" i="1"/>
  <c r="H143" i="1"/>
  <c r="E143" i="1" s="1"/>
  <c r="O143" i="1"/>
  <c r="D143" i="1"/>
  <c r="N143" i="1"/>
  <c r="K143" i="1"/>
  <c r="M144" i="1"/>
  <c r="H144" i="1"/>
  <c r="E144" i="1" s="1"/>
  <c r="N144" i="1"/>
  <c r="M154" i="1"/>
  <c r="L154" i="1"/>
  <c r="N159" i="1"/>
  <c r="M128" i="1"/>
  <c r="H128" i="1"/>
  <c r="E128" i="1" s="1"/>
  <c r="E127" i="1" s="1"/>
  <c r="N129" i="1"/>
  <c r="E130" i="1"/>
  <c r="R130" i="1" s="1"/>
  <c r="L135" i="1"/>
  <c r="H139" i="1"/>
  <c r="E139" i="1" s="1"/>
  <c r="N147" i="1"/>
  <c r="N146" i="1" s="1"/>
  <c r="K147" i="1"/>
  <c r="K146" i="1" s="1"/>
  <c r="H147" i="1"/>
  <c r="O147" i="1"/>
  <c r="D147" i="1"/>
  <c r="F148" i="1"/>
  <c r="N148" i="1"/>
  <c r="H148" i="1"/>
  <c r="H151" i="1"/>
  <c r="H150" i="1" s="1"/>
  <c r="O151" i="1"/>
  <c r="O150" i="1" s="1"/>
  <c r="D151" i="1"/>
  <c r="N151" i="1"/>
  <c r="N150" i="1" s="1"/>
  <c r="K151" i="1"/>
  <c r="K150" i="1" s="1"/>
  <c r="M152" i="1"/>
  <c r="F152" i="1"/>
  <c r="E172" i="1"/>
  <c r="E171" i="1" s="1"/>
  <c r="K180" i="1"/>
  <c r="O129" i="1"/>
  <c r="O134" i="1"/>
  <c r="D134" i="1"/>
  <c r="D133" i="1" s="1"/>
  <c r="L134" i="1"/>
  <c r="L139" i="1"/>
  <c r="E165" i="1"/>
  <c r="E166" i="1"/>
  <c r="E170" i="1"/>
  <c r="H169" i="1"/>
  <c r="F172" i="1"/>
  <c r="R172" i="1" s="1"/>
  <c r="M149" i="1"/>
  <c r="M148" i="1" s="1"/>
  <c r="D155" i="1"/>
  <c r="O155" i="1"/>
  <c r="O154" i="1" s="1"/>
  <c r="M157" i="1"/>
  <c r="D163" i="1"/>
  <c r="O163" i="1"/>
  <c r="H164" i="1"/>
  <c r="E164" i="1" s="1"/>
  <c r="K167" i="1"/>
  <c r="E169" i="1"/>
  <c r="K170" i="1"/>
  <c r="K169" i="1" s="1"/>
  <c r="N171" i="1"/>
  <c r="D174" i="1"/>
  <c r="O174" i="1"/>
  <c r="O173" i="1" s="1"/>
  <c r="H175" i="1"/>
  <c r="N179" i="1"/>
  <c r="N178" i="1" s="1"/>
  <c r="L181" i="1"/>
  <c r="L180" i="1" s="1"/>
  <c r="N157" i="1"/>
  <c r="L170" i="1"/>
  <c r="O171" i="1"/>
  <c r="N176" i="1"/>
  <c r="N175" i="1" s="1"/>
  <c r="D179" i="1"/>
  <c r="D178" i="1" s="1"/>
  <c r="O179" i="1"/>
  <c r="N181" i="1"/>
  <c r="N180" i="1" s="1"/>
  <c r="H155" i="1"/>
  <c r="E155" i="1" s="1"/>
  <c r="E154" i="1" s="1"/>
  <c r="H163" i="1"/>
  <c r="E163" i="1" s="1"/>
  <c r="M164" i="1"/>
  <c r="F164" i="1" s="1"/>
  <c r="K166" i="1"/>
  <c r="N167" i="1"/>
  <c r="N170" i="1"/>
  <c r="F171" i="1"/>
  <c r="H174" i="1"/>
  <c r="E174" i="1" s="1"/>
  <c r="E173" i="1" s="1"/>
  <c r="D181" i="1"/>
  <c r="O181" i="1"/>
  <c r="O180" i="1" s="1"/>
  <c r="L142" i="1"/>
  <c r="F142" i="1" s="1"/>
  <c r="K155" i="1"/>
  <c r="F157" i="1"/>
  <c r="L158" i="1"/>
  <c r="K163" i="1"/>
  <c r="N164" i="1"/>
  <c r="N161" i="1" s="1"/>
  <c r="L166" i="1"/>
  <c r="L161" i="1" s="1"/>
  <c r="D167" i="1"/>
  <c r="O167" i="1"/>
  <c r="H168" i="1"/>
  <c r="E168" i="1" s="1"/>
  <c r="E167" i="1" s="1"/>
  <c r="L169" i="1"/>
  <c r="D170" i="1"/>
  <c r="O170" i="1"/>
  <c r="O169" i="1" s="1"/>
  <c r="H171" i="1"/>
  <c r="K174" i="1"/>
  <c r="K173" i="1" s="1"/>
  <c r="H179" i="1"/>
  <c r="H178" i="1" s="1"/>
  <c r="K171" i="1"/>
  <c r="D175" i="1"/>
  <c r="M177" i="1"/>
  <c r="K179" i="1"/>
  <c r="K177" i="1" s="1"/>
  <c r="M163" i="1"/>
  <c r="L171" i="1"/>
  <c r="M174" i="1"/>
  <c r="M173" i="1" s="1"/>
  <c r="K176" i="1"/>
  <c r="K175" i="1" s="1"/>
  <c r="F178" i="1"/>
  <c r="L179" i="1"/>
  <c r="L178" i="1" s="1"/>
  <c r="H181" i="1"/>
  <c r="D142" i="1"/>
  <c r="D158" i="1"/>
  <c r="D166" i="1"/>
  <c r="H89" i="1" l="1"/>
  <c r="E30" i="1"/>
  <c r="AA30" i="1" s="1"/>
  <c r="E13" i="1"/>
  <c r="V13" i="1" s="1"/>
  <c r="W13" i="1" s="1"/>
  <c r="W58" i="1"/>
  <c r="W42" i="1"/>
  <c r="H77" i="1"/>
  <c r="E94" i="1"/>
  <c r="AA94" i="1" s="1"/>
  <c r="H152" i="1"/>
  <c r="E126" i="1"/>
  <c r="E125" i="1" s="1"/>
  <c r="R101" i="1"/>
  <c r="H49" i="1"/>
  <c r="X105" i="1"/>
  <c r="R165" i="1"/>
  <c r="V90" i="1"/>
  <c r="V80" i="1"/>
  <c r="E28" i="1"/>
  <c r="AA28" i="1" s="1"/>
  <c r="D79" i="1"/>
  <c r="R79" i="1" s="1"/>
  <c r="E17" i="1"/>
  <c r="F36" i="1"/>
  <c r="Z36" i="1" s="1"/>
  <c r="X37" i="1"/>
  <c r="O161" i="1"/>
  <c r="D87" i="1"/>
  <c r="Y87" i="1" s="1"/>
  <c r="R21" i="1"/>
  <c r="Z37" i="1"/>
  <c r="M161" i="1"/>
  <c r="L129" i="1"/>
  <c r="Y80" i="1"/>
  <c r="V46" i="1"/>
  <c r="W78" i="1"/>
  <c r="N43" i="1"/>
  <c r="N57" i="1"/>
  <c r="M38" i="1"/>
  <c r="E29" i="1"/>
  <c r="AA29" i="1" s="1"/>
  <c r="F138" i="1"/>
  <c r="L11" i="1"/>
  <c r="F139" i="1"/>
  <c r="R139" i="1" s="1"/>
  <c r="F124" i="1"/>
  <c r="F123" i="1" s="1"/>
  <c r="R123" i="1" s="1"/>
  <c r="H119" i="1"/>
  <c r="F140" i="1"/>
  <c r="O137" i="1"/>
  <c r="W48" i="1"/>
  <c r="M24" i="1"/>
  <c r="D77" i="1"/>
  <c r="W88" i="1"/>
  <c r="F141" i="1"/>
  <c r="K38" i="1"/>
  <c r="F40" i="1"/>
  <c r="F39" i="1" s="1"/>
  <c r="W47" i="1"/>
  <c r="N132" i="1"/>
  <c r="O54" i="1"/>
  <c r="Y106" i="1"/>
  <c r="W106" i="1"/>
  <c r="R164" i="1"/>
  <c r="F160" i="1"/>
  <c r="F156" i="1" s="1"/>
  <c r="F109" i="1"/>
  <c r="R109" i="1" s="1"/>
  <c r="E65" i="1"/>
  <c r="AA65" i="1" s="1"/>
  <c r="R13" i="1"/>
  <c r="H22" i="1"/>
  <c r="F136" i="1"/>
  <c r="R136" i="1" s="1"/>
  <c r="L38" i="1"/>
  <c r="F64" i="1"/>
  <c r="R64" i="1" s="1"/>
  <c r="F166" i="1"/>
  <c r="R166" i="1" s="1"/>
  <c r="F90" i="1"/>
  <c r="X90" i="1" s="1"/>
  <c r="F116" i="1"/>
  <c r="F115" i="1" s="1"/>
  <c r="H96" i="1"/>
  <c r="M112" i="1"/>
  <c r="K74" i="1"/>
  <c r="M63" i="1"/>
  <c r="F82" i="1"/>
  <c r="F81" i="1" s="1"/>
  <c r="X81" i="1" s="1"/>
  <c r="R142" i="1"/>
  <c r="F95" i="1"/>
  <c r="F94" i="1" s="1"/>
  <c r="X94" i="1" s="1"/>
  <c r="F153" i="1"/>
  <c r="R153" i="1" s="1"/>
  <c r="H127" i="1"/>
  <c r="D112" i="1"/>
  <c r="F92" i="1"/>
  <c r="F91" i="1" s="1"/>
  <c r="H71" i="1"/>
  <c r="R138" i="1"/>
  <c r="F162" i="1"/>
  <c r="R162" i="1" s="1"/>
  <c r="AA23" i="1"/>
  <c r="E22" i="1"/>
  <c r="AA22" i="1" s="1"/>
  <c r="AA50" i="1"/>
  <c r="E49" i="1"/>
  <c r="AA49" i="1" s="1"/>
  <c r="X58" i="1"/>
  <c r="Z58" i="1"/>
  <c r="AA97" i="1"/>
  <c r="E96" i="1"/>
  <c r="AA96" i="1" s="1"/>
  <c r="R171" i="1"/>
  <c r="M135" i="1"/>
  <c r="H132" i="1"/>
  <c r="E152" i="1"/>
  <c r="R152" i="1" s="1"/>
  <c r="F134" i="1"/>
  <c r="R105" i="1"/>
  <c r="L74" i="1"/>
  <c r="O55" i="1"/>
  <c r="L49" i="1"/>
  <c r="E33" i="1"/>
  <c r="E36" i="1"/>
  <c r="AA36" i="1" s="1"/>
  <c r="N24" i="1"/>
  <c r="M11" i="1"/>
  <c r="F32" i="1"/>
  <c r="X32" i="1" s="1"/>
  <c r="R175" i="1"/>
  <c r="L132" i="1"/>
  <c r="H135" i="1"/>
  <c r="V105" i="1"/>
  <c r="K87" i="1"/>
  <c r="F68" i="1"/>
  <c r="E19" i="1"/>
  <c r="E18" i="1" s="1"/>
  <c r="AA18" i="1" s="1"/>
  <c r="F17" i="1"/>
  <c r="F16" i="1" s="1"/>
  <c r="Y53" i="1"/>
  <c r="W53" i="1"/>
  <c r="O52" i="1"/>
  <c r="L156" i="1"/>
  <c r="H161" i="1"/>
  <c r="D132" i="1"/>
  <c r="R148" i="1"/>
  <c r="R141" i="1"/>
  <c r="F104" i="1"/>
  <c r="Z104" i="1" s="1"/>
  <c r="H11" i="1"/>
  <c r="F44" i="1"/>
  <c r="X44" i="1" s="1"/>
  <c r="F26" i="1"/>
  <c r="X26" i="1" s="1"/>
  <c r="O33" i="1"/>
  <c r="F145" i="1"/>
  <c r="R145" i="1" s="1"/>
  <c r="D16" i="1"/>
  <c r="E137" i="1"/>
  <c r="K159" i="1"/>
  <c r="M113" i="1"/>
  <c r="F88" i="1"/>
  <c r="E72" i="1"/>
  <c r="AA72" i="1" s="1"/>
  <c r="L121" i="1"/>
  <c r="F122" i="1"/>
  <c r="F121" i="1" s="1"/>
  <c r="R121" i="1" s="1"/>
  <c r="F48" i="1"/>
  <c r="Z48" i="1" s="1"/>
  <c r="K47" i="1"/>
  <c r="F155" i="1"/>
  <c r="F170" i="1"/>
  <c r="R170" i="1" s="1"/>
  <c r="O177" i="1"/>
  <c r="F144" i="1"/>
  <c r="R144" i="1" s="1"/>
  <c r="L112" i="1"/>
  <c r="M100" i="1"/>
  <c r="O100" i="1"/>
  <c r="D100" i="1"/>
  <c r="Y100" i="1" s="1"/>
  <c r="D38" i="1"/>
  <c r="W38" i="1" s="1"/>
  <c r="F72" i="1"/>
  <c r="F71" i="1" s="1"/>
  <c r="X71" i="1" s="1"/>
  <c r="N54" i="1"/>
  <c r="L14" i="1"/>
  <c r="F23" i="1"/>
  <c r="Z23" i="1" s="1"/>
  <c r="D52" i="1"/>
  <c r="D125" i="1"/>
  <c r="Y90" i="1"/>
  <c r="W90" i="1"/>
  <c r="K178" i="1"/>
  <c r="O131" i="1"/>
  <c r="N100" i="1"/>
  <c r="F97" i="1"/>
  <c r="X97" i="1" s="1"/>
  <c r="K100" i="1"/>
  <c r="V88" i="1"/>
  <c r="H74" i="1"/>
  <c r="V60" i="1"/>
  <c r="D51" i="1"/>
  <c r="D89" i="1"/>
  <c r="N137" i="1"/>
  <c r="F111" i="1"/>
  <c r="R111" i="1" s="1"/>
  <c r="F107" i="1"/>
  <c r="R107" i="1" s="1"/>
  <c r="L100" i="1"/>
  <c r="M74" i="1"/>
  <c r="K10" i="1"/>
  <c r="K182" i="1" s="1"/>
  <c r="F53" i="1"/>
  <c r="Y18" i="1"/>
  <c r="W18" i="1"/>
  <c r="AA76" i="1"/>
  <c r="E75" i="1"/>
  <c r="AA75" i="1" s="1"/>
  <c r="V33" i="1"/>
  <c r="W33" i="1" s="1"/>
  <c r="Z94" i="1"/>
  <c r="Y71" i="1"/>
  <c r="W71" i="1"/>
  <c r="Z64" i="1"/>
  <c r="AA64" i="1" s="1"/>
  <c r="X64" i="1"/>
  <c r="Y64" i="1" s="1"/>
  <c r="Z108" i="1"/>
  <c r="X108" i="1"/>
  <c r="X23" i="1"/>
  <c r="AA92" i="1"/>
  <c r="E91" i="1"/>
  <c r="AA91" i="1" s="1"/>
  <c r="Y22" i="1"/>
  <c r="W22" i="1"/>
  <c r="E181" i="1"/>
  <c r="E180" i="1" s="1"/>
  <c r="H180" i="1"/>
  <c r="O178" i="1"/>
  <c r="M156" i="1"/>
  <c r="O146" i="1"/>
  <c r="O132" i="1"/>
  <c r="H167" i="1"/>
  <c r="R167" i="1" s="1"/>
  <c r="R140" i="1"/>
  <c r="E119" i="1"/>
  <c r="O156" i="1"/>
  <c r="R110" i="1"/>
  <c r="R168" i="1"/>
  <c r="E161" i="1"/>
  <c r="F114" i="1"/>
  <c r="Y99" i="1"/>
  <c r="W99" i="1"/>
  <c r="V99" i="1"/>
  <c r="F118" i="1"/>
  <c r="F117" i="1" s="1"/>
  <c r="E114" i="1"/>
  <c r="Z103" i="1"/>
  <c r="X103" i="1"/>
  <c r="N135" i="1"/>
  <c r="K115" i="1"/>
  <c r="L93" i="1"/>
  <c r="W84" i="1"/>
  <c r="Y84" i="1"/>
  <c r="D83" i="1"/>
  <c r="F84" i="1"/>
  <c r="F102" i="1"/>
  <c r="W79" i="1"/>
  <c r="V62" i="1"/>
  <c r="W62" i="1"/>
  <c r="Y62" i="1"/>
  <c r="E87" i="1"/>
  <c r="AA87" i="1" s="1"/>
  <c r="F50" i="1"/>
  <c r="R50" i="1" s="1"/>
  <c r="D34" i="1"/>
  <c r="F59" i="1"/>
  <c r="F56" i="1"/>
  <c r="R56" i="1" s="1"/>
  <c r="E73" i="1"/>
  <c r="E54" i="1" s="1"/>
  <c r="Z60" i="1"/>
  <c r="X60" i="1"/>
  <c r="K49" i="1"/>
  <c r="H25" i="1"/>
  <c r="K14" i="1"/>
  <c r="Y25" i="1"/>
  <c r="W25" i="1"/>
  <c r="AA37" i="1"/>
  <c r="V37" i="1"/>
  <c r="R37" i="1"/>
  <c r="F28" i="1"/>
  <c r="R28" i="1" s="1"/>
  <c r="E15" i="1"/>
  <c r="V15" i="1" s="1"/>
  <c r="N11" i="1"/>
  <c r="F163" i="1"/>
  <c r="R163" i="1" s="1"/>
  <c r="K161" i="1"/>
  <c r="D180" i="1"/>
  <c r="R155" i="1"/>
  <c r="K131" i="1"/>
  <c r="M131" i="1"/>
  <c r="E134" i="1"/>
  <c r="R134" i="1" s="1"/>
  <c r="H133" i="1"/>
  <c r="N156" i="1"/>
  <c r="Y104" i="1"/>
  <c r="W104" i="1"/>
  <c r="V104" i="1"/>
  <c r="O112" i="1"/>
  <c r="Z70" i="1"/>
  <c r="AA70" i="1" s="1"/>
  <c r="X70" i="1"/>
  <c r="Y70" i="1" s="1"/>
  <c r="X101" i="1"/>
  <c r="Z101" i="1"/>
  <c r="H91" i="1"/>
  <c r="E100" i="1"/>
  <c r="AA100" i="1" s="1"/>
  <c r="V69" i="1"/>
  <c r="W69" i="1" s="1"/>
  <c r="F69" i="1"/>
  <c r="R69" i="1" s="1"/>
  <c r="V64" i="1"/>
  <c r="W64" i="1" s="1"/>
  <c r="D63" i="1"/>
  <c r="V89" i="1"/>
  <c r="W66" i="1"/>
  <c r="Y66" i="1"/>
  <c r="V66" i="1"/>
  <c r="Y41" i="1"/>
  <c r="W41" i="1"/>
  <c r="W15" i="1"/>
  <c r="Y15" i="1"/>
  <c r="H39" i="1"/>
  <c r="W24" i="1"/>
  <c r="Y24" i="1"/>
  <c r="D54" i="1"/>
  <c r="F35" i="1"/>
  <c r="V28" i="1"/>
  <c r="Y28" i="1"/>
  <c r="W28" i="1"/>
  <c r="X21" i="1"/>
  <c r="Y21" i="1" s="1"/>
  <c r="Z21" i="1"/>
  <c r="K33" i="1"/>
  <c r="L10" i="1"/>
  <c r="L182" i="1" s="1"/>
  <c r="D177" i="1"/>
  <c r="L177" i="1"/>
  <c r="F179" i="1"/>
  <c r="N131" i="1"/>
  <c r="D154" i="1"/>
  <c r="R108" i="1"/>
  <c r="Y108" i="1"/>
  <c r="W108" i="1"/>
  <c r="V108" i="1"/>
  <c r="D135" i="1"/>
  <c r="K112" i="1"/>
  <c r="H112" i="1"/>
  <c r="N112" i="1"/>
  <c r="Y97" i="1"/>
  <c r="V97" i="1"/>
  <c r="W97" i="1"/>
  <c r="Z92" i="1"/>
  <c r="V95" i="1"/>
  <c r="H83" i="1"/>
  <c r="E84" i="1"/>
  <c r="W102" i="1"/>
  <c r="V102" i="1"/>
  <c r="Y102" i="1"/>
  <c r="X79" i="1"/>
  <c r="Z79" i="1"/>
  <c r="E63" i="1"/>
  <c r="V67" i="1"/>
  <c r="W67" i="1" s="1"/>
  <c r="N93" i="1"/>
  <c r="K54" i="1"/>
  <c r="X73" i="1"/>
  <c r="AA47" i="1"/>
  <c r="V47" i="1"/>
  <c r="AA40" i="1"/>
  <c r="E39" i="1"/>
  <c r="AA39" i="1" s="1"/>
  <c r="AA32" i="1"/>
  <c r="Y27" i="1"/>
  <c r="W27" i="1"/>
  <c r="O14" i="1"/>
  <c r="O10" i="1"/>
  <c r="O182" i="1" s="1"/>
  <c r="D169" i="1"/>
  <c r="R169" i="1" s="1"/>
  <c r="N177" i="1"/>
  <c r="F176" i="1"/>
  <c r="R176" i="1" s="1"/>
  <c r="L157" i="1"/>
  <c r="L137" i="1"/>
  <c r="H146" i="1"/>
  <c r="E147" i="1"/>
  <c r="E146" i="1" s="1"/>
  <c r="K132" i="1"/>
  <c r="F143" i="1"/>
  <c r="R143" i="1" s="1"/>
  <c r="F126" i="1"/>
  <c r="F125" i="1" s="1"/>
  <c r="N123" i="1"/>
  <c r="K137" i="1"/>
  <c r="F99" i="1"/>
  <c r="R99" i="1" s="1"/>
  <c r="H93" i="1"/>
  <c r="Y92" i="1"/>
  <c r="W92" i="1"/>
  <c r="V92" i="1"/>
  <c r="W86" i="1"/>
  <c r="Y86" i="1"/>
  <c r="V86" i="1"/>
  <c r="R95" i="1"/>
  <c r="W107" i="1"/>
  <c r="V107" i="1"/>
  <c r="Y107" i="1"/>
  <c r="O96" i="1"/>
  <c r="Y43" i="1"/>
  <c r="W43" i="1"/>
  <c r="E82" i="1"/>
  <c r="H81" i="1"/>
  <c r="E59" i="1"/>
  <c r="H57" i="1"/>
  <c r="D85" i="1"/>
  <c r="Y76" i="1"/>
  <c r="V76" i="1"/>
  <c r="W76" i="1"/>
  <c r="D65" i="1"/>
  <c r="F76" i="1"/>
  <c r="R76" i="1" s="1"/>
  <c r="R60" i="1"/>
  <c r="Y57" i="1"/>
  <c r="W57" i="1"/>
  <c r="O38" i="1"/>
  <c r="X12" i="1"/>
  <c r="O11" i="1"/>
  <c r="N34" i="1"/>
  <c r="AA21" i="1"/>
  <c r="E20" i="1"/>
  <c r="V20" i="1" s="1"/>
  <c r="W20" i="1" s="1"/>
  <c r="X13" i="1"/>
  <c r="Y13" i="1" s="1"/>
  <c r="Z13" i="1"/>
  <c r="E45" i="1"/>
  <c r="W31" i="1"/>
  <c r="Y31" i="1"/>
  <c r="K43" i="1"/>
  <c r="E31" i="1"/>
  <c r="AA31" i="1" s="1"/>
  <c r="O24" i="1"/>
  <c r="H137" i="1"/>
  <c r="F147" i="1"/>
  <c r="N169" i="1"/>
  <c r="E157" i="1"/>
  <c r="H131" i="1"/>
  <c r="X95" i="1"/>
  <c r="Z95" i="1"/>
  <c r="AA101" i="1"/>
  <c r="V101" i="1"/>
  <c r="M93" i="1"/>
  <c r="Y98" i="1"/>
  <c r="W98" i="1"/>
  <c r="X88" i="1"/>
  <c r="Z88" i="1"/>
  <c r="D93" i="1"/>
  <c r="F89" i="1"/>
  <c r="Y55" i="1"/>
  <c r="W55" i="1"/>
  <c r="E42" i="1"/>
  <c r="E38" i="1" s="1"/>
  <c r="H41" i="1"/>
  <c r="F42" i="1"/>
  <c r="AA90" i="1"/>
  <c r="R90" i="1"/>
  <c r="O74" i="1"/>
  <c r="R70" i="1"/>
  <c r="Y50" i="1"/>
  <c r="W50" i="1"/>
  <c r="V50" i="1"/>
  <c r="E55" i="1"/>
  <c r="AA55" i="1" s="1"/>
  <c r="AA56" i="1"/>
  <c r="V56" i="1"/>
  <c r="F46" i="1"/>
  <c r="R46" i="1" s="1"/>
  <c r="E16" i="1"/>
  <c r="AA17" i="1"/>
  <c r="H38" i="1"/>
  <c r="W23" i="1"/>
  <c r="Y23" i="1"/>
  <c r="V23" i="1"/>
  <c r="R23" i="1"/>
  <c r="X20" i="1"/>
  <c r="Y20" i="1" s="1"/>
  <c r="D11" i="1"/>
  <c r="N29" i="1"/>
  <c r="W19" i="1"/>
  <c r="Y19" i="1"/>
  <c r="V30" i="1"/>
  <c r="Y30" i="1"/>
  <c r="W30" i="1"/>
  <c r="D29" i="1"/>
  <c r="E26" i="1"/>
  <c r="AA58" i="1"/>
  <c r="V58" i="1"/>
  <c r="R58" i="1"/>
  <c r="E57" i="1"/>
  <c r="AA57" i="1" s="1"/>
  <c r="E43" i="1"/>
  <c r="AA43" i="1" s="1"/>
  <c r="E27" i="1"/>
  <c r="AA27" i="1" s="1"/>
  <c r="F19" i="1"/>
  <c r="R19" i="1" s="1"/>
  <c r="K11" i="1"/>
  <c r="M10" i="1"/>
  <c r="M182" i="1" s="1"/>
  <c r="D156" i="1"/>
  <c r="D157" i="1"/>
  <c r="F174" i="1"/>
  <c r="R174" i="1" s="1"/>
  <c r="D161" i="1"/>
  <c r="H154" i="1"/>
  <c r="M132" i="1"/>
  <c r="F158" i="1"/>
  <c r="R158" i="1" s="1"/>
  <c r="O133" i="1"/>
  <c r="D96" i="1"/>
  <c r="E129" i="1"/>
  <c r="R129" i="1" s="1"/>
  <c r="K94" i="1"/>
  <c r="O93" i="1"/>
  <c r="F86" i="1"/>
  <c r="D91" i="1"/>
  <c r="H100" i="1"/>
  <c r="R88" i="1"/>
  <c r="E61" i="1"/>
  <c r="AA61" i="1" s="1"/>
  <c r="F66" i="1"/>
  <c r="R66" i="1" s="1"/>
  <c r="F87" i="1"/>
  <c r="Y81" i="1"/>
  <c r="W81" i="1"/>
  <c r="D74" i="1"/>
  <c r="W36" i="1"/>
  <c r="Y36" i="1"/>
  <c r="M75" i="1"/>
  <c r="M54" i="1"/>
  <c r="Z68" i="1"/>
  <c r="AA68" i="1" s="1"/>
  <c r="X68" i="1"/>
  <c r="Y68" i="1" s="1"/>
  <c r="F62" i="1"/>
  <c r="R62" i="1" s="1"/>
  <c r="D10" i="1"/>
  <c r="V35" i="1"/>
  <c r="W35" i="1" s="1"/>
  <c r="R35" i="1"/>
  <c r="AA48" i="1"/>
  <c r="V48" i="1"/>
  <c r="Y12" i="1"/>
  <c r="AA78" i="1"/>
  <c r="E77" i="1"/>
  <c r="F15" i="1"/>
  <c r="F25" i="1"/>
  <c r="H10" i="1"/>
  <c r="H182" i="1" s="1"/>
  <c r="D150" i="1"/>
  <c r="F149" i="1"/>
  <c r="R149" i="1" s="1"/>
  <c r="K156" i="1"/>
  <c r="F181" i="1"/>
  <c r="F159" i="1"/>
  <c r="K154" i="1"/>
  <c r="E116" i="1"/>
  <c r="H117" i="1"/>
  <c r="R103" i="1"/>
  <c r="Y103" i="1"/>
  <c r="W103" i="1"/>
  <c r="V103" i="1"/>
  <c r="AA106" i="1"/>
  <c r="V106" i="1"/>
  <c r="R106" i="1"/>
  <c r="D137" i="1"/>
  <c r="D117" i="1"/>
  <c r="E93" i="1"/>
  <c r="AA93" i="1" s="1"/>
  <c r="F77" i="1"/>
  <c r="Z78" i="1"/>
  <c r="X78" i="1"/>
  <c r="L57" i="1"/>
  <c r="L54" i="1"/>
  <c r="V72" i="1"/>
  <c r="R72" i="1"/>
  <c r="W72" i="1"/>
  <c r="Y72" i="1"/>
  <c r="N74" i="1"/>
  <c r="Y40" i="1"/>
  <c r="V40" i="1"/>
  <c r="W40" i="1"/>
  <c r="D39" i="1"/>
  <c r="X72" i="1"/>
  <c r="R94" i="1"/>
  <c r="Y75" i="1"/>
  <c r="W75" i="1"/>
  <c r="D49" i="1"/>
  <c r="N10" i="1"/>
  <c r="N182" i="1" s="1"/>
  <c r="H14" i="1"/>
  <c r="F30" i="1"/>
  <c r="K29" i="1"/>
  <c r="W44" i="1"/>
  <c r="V44" i="1"/>
  <c r="Y44" i="1"/>
  <c r="Y26" i="1"/>
  <c r="W26" i="1"/>
  <c r="D14" i="1"/>
  <c r="V17" i="1"/>
  <c r="E179" i="1"/>
  <c r="H177" i="1"/>
  <c r="D173" i="1"/>
  <c r="H156" i="1"/>
  <c r="D146" i="1"/>
  <c r="D131" i="1"/>
  <c r="F151" i="1"/>
  <c r="M127" i="1"/>
  <c r="F128" i="1"/>
  <c r="L133" i="1"/>
  <c r="L131" i="1"/>
  <c r="F120" i="1"/>
  <c r="F119" i="1" s="1"/>
  <c r="K119" i="1"/>
  <c r="I160" i="1"/>
  <c r="E160" i="1" s="1"/>
  <c r="E151" i="1"/>
  <c r="E150" i="1" s="1"/>
  <c r="H173" i="1"/>
  <c r="K93" i="1"/>
  <c r="Y61" i="1"/>
  <c r="W61" i="1"/>
  <c r="E98" i="1"/>
  <c r="AA98" i="1" s="1"/>
  <c r="L91" i="1"/>
  <c r="Z106" i="1"/>
  <c r="X106" i="1"/>
  <c r="Z80" i="1"/>
  <c r="X80" i="1"/>
  <c r="L83" i="1"/>
  <c r="R78" i="1"/>
  <c r="L85" i="1"/>
  <c r="R80" i="1"/>
  <c r="V94" i="1"/>
  <c r="E53" i="1"/>
  <c r="H52" i="1"/>
  <c r="AA19" i="1"/>
  <c r="AA13" i="1"/>
  <c r="E12" i="1"/>
  <c r="Z12" i="1" s="1"/>
  <c r="K18" i="1"/>
  <c r="L24" i="1"/>
  <c r="L34" i="1"/>
  <c r="K24" i="1"/>
  <c r="Z26" i="1" l="1"/>
  <c r="Z90" i="1"/>
  <c r="F31" i="1"/>
  <c r="Z31" i="1" s="1"/>
  <c r="R104" i="1"/>
  <c r="F63" i="1"/>
  <c r="X104" i="1"/>
  <c r="X36" i="1"/>
  <c r="Z82" i="1"/>
  <c r="R124" i="1"/>
  <c r="R44" i="1"/>
  <c r="R118" i="1"/>
  <c r="F22" i="1"/>
  <c r="R22" i="1" s="1"/>
  <c r="F38" i="1"/>
  <c r="Z38" i="1" s="1"/>
  <c r="Z72" i="1"/>
  <c r="R84" i="1"/>
  <c r="Z97" i="1"/>
  <c r="F43" i="1"/>
  <c r="R92" i="1"/>
  <c r="X92" i="1"/>
  <c r="Y38" i="1"/>
  <c r="Y79" i="1"/>
  <c r="E71" i="1"/>
  <c r="AA71" i="1" s="1"/>
  <c r="R36" i="1"/>
  <c r="V36" i="1"/>
  <c r="R135" i="1"/>
  <c r="V79" i="1"/>
  <c r="V22" i="1"/>
  <c r="Z39" i="1"/>
  <c r="W100" i="1"/>
  <c r="X16" i="1"/>
  <c r="V87" i="1"/>
  <c r="W87" i="1"/>
  <c r="R32" i="1"/>
  <c r="X40" i="1"/>
  <c r="R48" i="1"/>
  <c r="R122" i="1"/>
  <c r="Z32" i="1"/>
  <c r="Z40" i="1"/>
  <c r="R40" i="1"/>
  <c r="V19" i="1"/>
  <c r="Z44" i="1"/>
  <c r="X82" i="1"/>
  <c r="R17" i="1"/>
  <c r="Z107" i="1"/>
  <c r="X17" i="1"/>
  <c r="R125" i="1"/>
  <c r="F100" i="1"/>
  <c r="X107" i="1"/>
  <c r="R89" i="1"/>
  <c r="X39" i="1"/>
  <c r="Z17" i="1"/>
  <c r="Y77" i="1"/>
  <c r="W77" i="1"/>
  <c r="V61" i="1"/>
  <c r="R146" i="1"/>
  <c r="V26" i="1"/>
  <c r="F24" i="1"/>
  <c r="X24" i="1" s="1"/>
  <c r="R15" i="1"/>
  <c r="R87" i="1"/>
  <c r="Z20" i="1"/>
  <c r="Z73" i="1"/>
  <c r="R117" i="1"/>
  <c r="R20" i="1"/>
  <c r="F51" i="1"/>
  <c r="X51" i="1" s="1"/>
  <c r="X53" i="1"/>
  <c r="F52" i="1"/>
  <c r="X52" i="1" s="1"/>
  <c r="V75" i="1"/>
  <c r="R137" i="1"/>
  <c r="R161" i="1"/>
  <c r="R26" i="1"/>
  <c r="R102" i="1"/>
  <c r="R97" i="1"/>
  <c r="F96" i="1"/>
  <c r="Z96" i="1" s="1"/>
  <c r="Y52" i="1"/>
  <c r="W52" i="1"/>
  <c r="X48" i="1"/>
  <c r="F47" i="1"/>
  <c r="W16" i="1"/>
  <c r="Y16" i="1"/>
  <c r="W89" i="1"/>
  <c r="Y89" i="1"/>
  <c r="F93" i="1"/>
  <c r="R93" i="1" s="1"/>
  <c r="E74" i="1"/>
  <c r="AA74" i="1" s="1"/>
  <c r="R157" i="1"/>
  <c r="R31" i="1"/>
  <c r="V43" i="1"/>
  <c r="R68" i="1"/>
  <c r="F67" i="1"/>
  <c r="W51" i="1"/>
  <c r="Y51" i="1"/>
  <c r="E159" i="1"/>
  <c r="R159" i="1" s="1"/>
  <c r="R160" i="1"/>
  <c r="E156" i="1"/>
  <c r="R156" i="1" s="1"/>
  <c r="AA38" i="1"/>
  <c r="V38" i="1"/>
  <c r="R38" i="1"/>
  <c r="R12" i="1"/>
  <c r="W93" i="1"/>
  <c r="V93" i="1"/>
  <c r="Y93" i="1"/>
  <c r="R147" i="1"/>
  <c r="Z50" i="1"/>
  <c r="X50" i="1"/>
  <c r="F49" i="1"/>
  <c r="R49" i="1" s="1"/>
  <c r="R71" i="1"/>
  <c r="R173" i="1"/>
  <c r="Y14" i="1"/>
  <c r="W14" i="1"/>
  <c r="Z93" i="1"/>
  <c r="X25" i="1"/>
  <c r="V12" i="1"/>
  <c r="W12" i="1" s="1"/>
  <c r="V91" i="1"/>
  <c r="R91" i="1"/>
  <c r="Y91" i="1"/>
  <c r="W91" i="1"/>
  <c r="R16" i="1"/>
  <c r="AA16" i="1"/>
  <c r="V16" i="1"/>
  <c r="V55" i="1"/>
  <c r="X100" i="1"/>
  <c r="Z100" i="1"/>
  <c r="Z35" i="1"/>
  <c r="AA35" i="1" s="1"/>
  <c r="F34" i="1"/>
  <c r="R34" i="1" s="1"/>
  <c r="X35" i="1"/>
  <c r="Y35" i="1" s="1"/>
  <c r="F33" i="1"/>
  <c r="R151" i="1"/>
  <c r="R126" i="1"/>
  <c r="X91" i="1"/>
  <c r="R120" i="1"/>
  <c r="F127" i="1"/>
  <c r="R127" i="1" s="1"/>
  <c r="R128" i="1"/>
  <c r="Y49" i="1"/>
  <c r="W49" i="1"/>
  <c r="V49" i="1"/>
  <c r="Z77" i="1"/>
  <c r="X77" i="1"/>
  <c r="Z86" i="1"/>
  <c r="X86" i="1"/>
  <c r="F85" i="1"/>
  <c r="R85" i="1" s="1"/>
  <c r="X42" i="1"/>
  <c r="Z42" i="1"/>
  <c r="F41" i="1"/>
  <c r="V31" i="1"/>
  <c r="R43" i="1"/>
  <c r="AA84" i="1"/>
  <c r="E83" i="1"/>
  <c r="AA83" i="1" s="1"/>
  <c r="V54" i="1"/>
  <c r="W54" i="1" s="1"/>
  <c r="X69" i="1"/>
  <c r="Y69" i="1" s="1"/>
  <c r="Z69" i="1"/>
  <c r="AA69" i="1" s="1"/>
  <c r="Z28" i="1"/>
  <c r="X28" i="1"/>
  <c r="F27" i="1"/>
  <c r="Z91" i="1"/>
  <c r="Z63" i="1"/>
  <c r="AA63" i="1" s="1"/>
  <c r="X63" i="1"/>
  <c r="Y63" i="1" s="1"/>
  <c r="V18" i="1"/>
  <c r="X38" i="1"/>
  <c r="E178" i="1"/>
  <c r="R178" i="1" s="1"/>
  <c r="E177" i="1"/>
  <c r="V39" i="1"/>
  <c r="R39" i="1"/>
  <c r="W39" i="1"/>
  <c r="Y39" i="1"/>
  <c r="F177" i="1"/>
  <c r="F180" i="1"/>
  <c r="R180" i="1" s="1"/>
  <c r="D182" i="1"/>
  <c r="F45" i="1"/>
  <c r="R45" i="1" s="1"/>
  <c r="Z46" i="1"/>
  <c r="X46" i="1"/>
  <c r="Z71" i="1"/>
  <c r="V98" i="1"/>
  <c r="Z76" i="1"/>
  <c r="X76" i="1"/>
  <c r="F74" i="1"/>
  <c r="F75" i="1"/>
  <c r="Y85" i="1"/>
  <c r="W85" i="1"/>
  <c r="V85" i="1"/>
  <c r="R86" i="1"/>
  <c r="Z99" i="1"/>
  <c r="X99" i="1"/>
  <c r="F98" i="1"/>
  <c r="X102" i="1"/>
  <c r="Z102" i="1"/>
  <c r="R119" i="1"/>
  <c r="Z87" i="1"/>
  <c r="X87" i="1"/>
  <c r="AA26" i="1"/>
  <c r="E24" i="1"/>
  <c r="E25" i="1"/>
  <c r="AA45" i="1"/>
  <c r="V45" i="1"/>
  <c r="AA20" i="1"/>
  <c r="W65" i="1"/>
  <c r="Y65" i="1"/>
  <c r="V65" i="1"/>
  <c r="AA73" i="1"/>
  <c r="R73" i="1"/>
  <c r="V73" i="1"/>
  <c r="X84" i="1"/>
  <c r="Z84" i="1"/>
  <c r="F83" i="1"/>
  <c r="R53" i="1"/>
  <c r="AA53" i="1"/>
  <c r="E51" i="1"/>
  <c r="E52" i="1"/>
  <c r="Z53" i="1"/>
  <c r="V53" i="1"/>
  <c r="Z30" i="1"/>
  <c r="X30" i="1"/>
  <c r="F29" i="1"/>
  <c r="R29" i="1" s="1"/>
  <c r="Z15" i="1"/>
  <c r="X15" i="1"/>
  <c r="F11" i="1"/>
  <c r="F14" i="1"/>
  <c r="X66" i="1"/>
  <c r="Z66" i="1"/>
  <c r="F65" i="1"/>
  <c r="R65" i="1" s="1"/>
  <c r="Z19" i="1"/>
  <c r="X19" i="1"/>
  <c r="F18" i="1"/>
  <c r="Y29" i="1"/>
  <c r="W29" i="1"/>
  <c r="V29" i="1"/>
  <c r="AA59" i="1"/>
  <c r="V59" i="1"/>
  <c r="R59" i="1"/>
  <c r="V27" i="1"/>
  <c r="R154" i="1"/>
  <c r="R181" i="1"/>
  <c r="Z56" i="1"/>
  <c r="X56" i="1"/>
  <c r="F54" i="1"/>
  <c r="F55" i="1"/>
  <c r="Y83" i="1"/>
  <c r="W83" i="1"/>
  <c r="F112" i="1"/>
  <c r="F113" i="1"/>
  <c r="V71" i="1"/>
  <c r="R150" i="1"/>
  <c r="AA77" i="1"/>
  <c r="R77" i="1"/>
  <c r="V77" i="1"/>
  <c r="Z62" i="1"/>
  <c r="X62" i="1"/>
  <c r="F61" i="1"/>
  <c r="Y96" i="1"/>
  <c r="V96" i="1"/>
  <c r="W96" i="1"/>
  <c r="R30" i="1"/>
  <c r="AA42" i="1"/>
  <c r="E41" i="1"/>
  <c r="V42" i="1"/>
  <c r="R42" i="1"/>
  <c r="Z89" i="1"/>
  <c r="X89" i="1"/>
  <c r="R98" i="1"/>
  <c r="R179" i="1"/>
  <c r="V63" i="1"/>
  <c r="W63" i="1" s="1"/>
  <c r="R63" i="1"/>
  <c r="E133" i="1"/>
  <c r="R133" i="1" s="1"/>
  <c r="E131" i="1"/>
  <c r="E132" i="1"/>
  <c r="R132" i="1" s="1"/>
  <c r="X59" i="1"/>
  <c r="Z59" i="1"/>
  <c r="F57" i="1"/>
  <c r="R57" i="1" s="1"/>
  <c r="Z22" i="1"/>
  <c r="X22" i="1"/>
  <c r="R100" i="1"/>
  <c r="Z43" i="1"/>
  <c r="X43" i="1"/>
  <c r="Z16" i="1"/>
  <c r="AA12" i="1"/>
  <c r="R116" i="1"/>
  <c r="E115" i="1"/>
  <c r="R115" i="1" s="1"/>
  <c r="Y74" i="1"/>
  <c r="W74" i="1"/>
  <c r="F131" i="1"/>
  <c r="F10" i="1"/>
  <c r="V57" i="1"/>
  <c r="AA82" i="1"/>
  <c r="V82" i="1"/>
  <c r="R82" i="1"/>
  <c r="E81" i="1"/>
  <c r="X31" i="1"/>
  <c r="AA15" i="1"/>
  <c r="E10" i="1"/>
  <c r="V10" i="1" s="1"/>
  <c r="W10" i="1" s="1"/>
  <c r="E14" i="1"/>
  <c r="AA14" i="1" s="1"/>
  <c r="E11" i="1"/>
  <c r="V34" i="1"/>
  <c r="W34" i="1" s="1"/>
  <c r="V84" i="1"/>
  <c r="R114" i="1"/>
  <c r="E112" i="1"/>
  <c r="E113" i="1"/>
  <c r="V100" i="1"/>
  <c r="R96" i="1" l="1"/>
  <c r="X96" i="1"/>
  <c r="R83" i="1"/>
  <c r="V74" i="1"/>
  <c r="R74" i="1"/>
  <c r="R112" i="1"/>
  <c r="E182" i="1"/>
  <c r="V182" i="1" s="1"/>
  <c r="W182" i="1" s="1"/>
  <c r="R177" i="1"/>
  <c r="X93" i="1"/>
  <c r="V83" i="1"/>
  <c r="X67" i="1"/>
  <c r="Y67" i="1" s="1"/>
  <c r="Z67" i="1"/>
  <c r="AA67" i="1" s="1"/>
  <c r="R67" i="1"/>
  <c r="R47" i="1"/>
  <c r="Z47" i="1"/>
  <c r="X47" i="1"/>
  <c r="R11" i="1"/>
  <c r="R113" i="1"/>
  <c r="R131" i="1"/>
  <c r="X41" i="1"/>
  <c r="Z41" i="1"/>
  <c r="V14" i="1"/>
  <c r="AA81" i="1"/>
  <c r="Z81" i="1"/>
  <c r="V81" i="1"/>
  <c r="R81" i="1"/>
  <c r="Z57" i="1"/>
  <c r="X57" i="1"/>
  <c r="Z55" i="1"/>
  <c r="X55" i="1"/>
  <c r="R55" i="1"/>
  <c r="X29" i="1"/>
  <c r="Z29" i="1"/>
  <c r="X33" i="1"/>
  <c r="Y33" i="1" s="1"/>
  <c r="Z33" i="1"/>
  <c r="AA33" i="1" s="1"/>
  <c r="R33" i="1"/>
  <c r="Z49" i="1"/>
  <c r="X49" i="1"/>
  <c r="Z54" i="1"/>
  <c r="AA54" i="1" s="1"/>
  <c r="X54" i="1"/>
  <c r="Y54" i="1" s="1"/>
  <c r="Z14" i="1"/>
  <c r="X14" i="1"/>
  <c r="R10" i="1"/>
  <c r="Z11" i="1"/>
  <c r="AA11" i="1" s="1"/>
  <c r="X11" i="1"/>
  <c r="Y11" i="1" s="1"/>
  <c r="AA52" i="1"/>
  <c r="R52" i="1"/>
  <c r="V52" i="1"/>
  <c r="Z52" i="1"/>
  <c r="Z34" i="1"/>
  <c r="AA34" i="1" s="1"/>
  <c r="X34" i="1"/>
  <c r="Y34" i="1" s="1"/>
  <c r="X18" i="1"/>
  <c r="Z18" i="1"/>
  <c r="AA51" i="1"/>
  <c r="V51" i="1"/>
  <c r="R51" i="1"/>
  <c r="Z51" i="1"/>
  <c r="Z98" i="1"/>
  <c r="X98" i="1"/>
  <c r="Z75" i="1"/>
  <c r="X75" i="1"/>
  <c r="R75" i="1"/>
  <c r="X27" i="1"/>
  <c r="Z27" i="1"/>
  <c r="R54" i="1"/>
  <c r="AA25" i="1"/>
  <c r="V25" i="1"/>
  <c r="R25" i="1"/>
  <c r="Z74" i="1"/>
  <c r="X74" i="1"/>
  <c r="R27" i="1"/>
  <c r="Z10" i="1"/>
  <c r="AA10" i="1" s="1"/>
  <c r="X10" i="1"/>
  <c r="Y10" i="1" s="1"/>
  <c r="F182" i="1"/>
  <c r="X83" i="1"/>
  <c r="Z83" i="1"/>
  <c r="AA24" i="1"/>
  <c r="R24" i="1"/>
  <c r="V24" i="1"/>
  <c r="Z24" i="1"/>
  <c r="Z85" i="1"/>
  <c r="X85" i="1"/>
  <c r="V11" i="1"/>
  <c r="W11" i="1" s="1"/>
  <c r="AA41" i="1"/>
  <c r="V41" i="1"/>
  <c r="R41" i="1"/>
  <c r="Z61" i="1"/>
  <c r="X61" i="1"/>
  <c r="R61" i="1"/>
  <c r="R18" i="1"/>
  <c r="Z65" i="1"/>
  <c r="X65" i="1"/>
  <c r="Z45" i="1"/>
  <c r="X45" i="1"/>
  <c r="Z25" i="1"/>
  <c r="R14" i="1"/>
  <c r="Z182" i="1" l="1"/>
  <c r="AA182" i="1" s="1"/>
  <c r="X182" i="1"/>
  <c r="Y182" i="1" s="1"/>
  <c r="R182" i="1"/>
</calcChain>
</file>

<file path=xl/comments1.xml><?xml version="1.0" encoding="utf-8"?>
<comments xmlns="http://schemas.openxmlformats.org/spreadsheetml/2006/main">
  <authors>
    <author>Ciro Arturo</author>
    <author>Carrera</author>
    <author>JESSICA</author>
  </authors>
  <commentList>
    <comment ref="K5" authorId="0">
      <text>
        <r>
          <rPr>
            <b/>
            <sz val="9"/>
            <color indexed="81"/>
            <rFont val="Tahoma"/>
            <family val="2"/>
          </rPr>
          <t>JCAS:</t>
        </r>
        <r>
          <rPr>
            <sz val="9"/>
            <color indexed="81"/>
            <rFont val="Tahoma"/>
            <family val="2"/>
          </rPr>
          <t xml:space="preserve">
integra a la Clave Presupuestal, capture la misma clave que fue asignada en gastos, asigne los necesarios.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JCAS:</t>
        </r>
        <r>
          <rPr>
            <sz val="9"/>
            <color indexed="81"/>
            <rFont val="Tahoma"/>
            <family val="2"/>
          </rPr>
          <t xml:space="preserve">
Son los gastos que no se han ejercido y que sabes que se van a reflejar en tus estados financieros posteriores al mes de la información de parametros y los que sabes que ya no se van a ejercer escribe la diferencia en numero negativo</t>
        </r>
      </text>
    </comment>
    <comment ref="Q8" authorId="1">
      <text>
        <r>
          <rPr>
            <b/>
            <sz val="8"/>
            <color indexed="81"/>
            <rFont val="Tahoma"/>
            <family val="2"/>
          </rPr>
          <t>JCAS:
Niveles de Cuenta</t>
        </r>
      </text>
    </comment>
    <comment ref="T8" authorId="2">
      <text>
        <r>
          <rPr>
            <sz val="12"/>
            <color indexed="81"/>
            <rFont val="Courier New"/>
            <family val="3"/>
          </rPr>
          <t>1=INMUEBLES
2=MOBILIARIO Y EQUIPO
3=INFRAESTRUCTURA HIDRAULICA
4=INFRAESTRUCTURA DE ALCANTARILLADO
5=INFRAESTRUCTURA DE SANEAMIENTO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JCAS:</t>
        </r>
        <r>
          <rPr>
            <sz val="9"/>
            <color indexed="81"/>
            <rFont val="Tahoma"/>
            <family val="2"/>
          </rPr>
          <t xml:space="preserve">
Segregacion del area por Jefaturas, asigne las necesarias</t>
        </r>
      </text>
    </comment>
  </commentList>
</comments>
</file>

<file path=xl/sharedStrings.xml><?xml version="1.0" encoding="utf-8"?>
<sst xmlns="http://schemas.openxmlformats.org/spreadsheetml/2006/main" count="257" uniqueCount="222">
  <si>
    <t>segregacion del area administrativa por unidades de trabajo</t>
  </si>
  <si>
    <t>UNIDADES ADMINISTRATIVAS</t>
  </si>
  <si>
    <t>INVERSIONES</t>
  </si>
  <si>
    <t>05</t>
  </si>
  <si>
    <t>FILTROS DE APOYO</t>
  </si>
  <si>
    <t>COG</t>
  </si>
  <si>
    <t>C O N C E P T O</t>
  </si>
  <si>
    <t>Presupuesto</t>
  </si>
  <si>
    <t>Ejercido</t>
  </si>
  <si>
    <t>JUSTIFICACION: (cite los bienes y el importe correspondiente)</t>
  </si>
  <si>
    <t>Gasto Adicion. y/o Ppto. comprometido</t>
  </si>
  <si>
    <t>NIVEL</t>
  </si>
  <si>
    <t>CUENTAS CON MOVIMIENTO</t>
  </si>
  <si>
    <t>Cta</t>
  </si>
  <si>
    <t>Mascarilla Edo. de result.</t>
  </si>
  <si>
    <t>ADMON</t>
  </si>
  <si>
    <t>COMER</t>
  </si>
  <si>
    <t>TECNICA</t>
  </si>
  <si>
    <t>SANEAM</t>
  </si>
  <si>
    <t>LABORATORIO</t>
  </si>
  <si>
    <t>$</t>
  </si>
  <si>
    <t>%</t>
  </si>
  <si>
    <t>50000</t>
  </si>
  <si>
    <t>XX</t>
  </si>
  <si>
    <t>51000</t>
  </si>
  <si>
    <t>51100</t>
  </si>
  <si>
    <t>51101</t>
  </si>
  <si>
    <t>Escritorios y muebles de oficina para administracion y sillas y bancos para Laboratorio</t>
  </si>
  <si>
    <t>51200</t>
  </si>
  <si>
    <t>Muebles de oficina, excepto de oficina y estanteria</t>
  </si>
  <si>
    <t>51201</t>
  </si>
  <si>
    <t xml:space="preserve">Acondicionar sala de juntas </t>
  </si>
  <si>
    <t>51300</t>
  </si>
  <si>
    <t>51301</t>
  </si>
  <si>
    <t>51400</t>
  </si>
  <si>
    <t>51401</t>
  </si>
  <si>
    <t>51500</t>
  </si>
  <si>
    <t>51501</t>
  </si>
  <si>
    <t xml:space="preserve">equipo de computo e impresoras </t>
  </si>
  <si>
    <t>51900</t>
  </si>
  <si>
    <t>Otro mobiliario y equipo de administracion</t>
  </si>
  <si>
    <t>51901</t>
  </si>
  <si>
    <t>52000</t>
  </si>
  <si>
    <t xml:space="preserve">Equipos y aparatos audiovisuales </t>
  </si>
  <si>
    <t>52100</t>
  </si>
  <si>
    <t>52101</t>
  </si>
  <si>
    <t>Cañon proyector y pizarrones blancos para plaquicas en escuelas</t>
  </si>
  <si>
    <t>52200</t>
  </si>
  <si>
    <t>52201</t>
  </si>
  <si>
    <t>52300</t>
  </si>
  <si>
    <t xml:space="preserve">Camaras fotograficas y de video </t>
  </si>
  <si>
    <t>52301</t>
  </si>
  <si>
    <t>Equipo de fotografia y video para el area de cultura y comunicación</t>
  </si>
  <si>
    <t>52900</t>
  </si>
  <si>
    <t>52901</t>
  </si>
  <si>
    <t>53000</t>
  </si>
  <si>
    <t>53100</t>
  </si>
  <si>
    <t>53101</t>
  </si>
  <si>
    <t>53200</t>
  </si>
  <si>
    <t>53201</t>
  </si>
  <si>
    <t>54000</t>
  </si>
  <si>
    <t xml:space="preserve">Vehiculos y equipo de transporte </t>
  </si>
  <si>
    <t>54100</t>
  </si>
  <si>
    <t>54101</t>
  </si>
  <si>
    <t>54200</t>
  </si>
  <si>
    <t>54201</t>
  </si>
  <si>
    <t>54300</t>
  </si>
  <si>
    <t>54301</t>
  </si>
  <si>
    <t>54400</t>
  </si>
  <si>
    <t>54401</t>
  </si>
  <si>
    <t>54500</t>
  </si>
  <si>
    <t>54501</t>
  </si>
  <si>
    <t>54900</t>
  </si>
  <si>
    <t>54901</t>
  </si>
  <si>
    <t>55000</t>
  </si>
  <si>
    <t>55100</t>
  </si>
  <si>
    <t>55101</t>
  </si>
  <si>
    <t>56000</t>
  </si>
  <si>
    <t>56100</t>
  </si>
  <si>
    <t>56101</t>
  </si>
  <si>
    <t>56200</t>
  </si>
  <si>
    <t>56201</t>
  </si>
  <si>
    <t>Maquinaria y equipo industrial</t>
  </si>
  <si>
    <t>56202</t>
  </si>
  <si>
    <t>56203</t>
  </si>
  <si>
    <t>56300</t>
  </si>
  <si>
    <t>56301</t>
  </si>
  <si>
    <t>56400</t>
  </si>
  <si>
    <t>Sistema de aire acondicionado calefaccion y refrigeracion industrial y comercial</t>
  </si>
  <si>
    <t>56401</t>
  </si>
  <si>
    <t>Minisplit</t>
  </si>
  <si>
    <t>56500</t>
  </si>
  <si>
    <t>56501</t>
  </si>
  <si>
    <t>56600</t>
  </si>
  <si>
    <t>56601</t>
  </si>
  <si>
    <t xml:space="preserve">Compra de reguladores para pc </t>
  </si>
  <si>
    <t>56700</t>
  </si>
  <si>
    <t>Herramientas y maquinaria</t>
  </si>
  <si>
    <t>56701</t>
  </si>
  <si>
    <t>Tractopodador, turbosoplador de PTAR</t>
  </si>
  <si>
    <t>56900</t>
  </si>
  <si>
    <t>Otros Equipos</t>
  </si>
  <si>
    <t>56901</t>
  </si>
  <si>
    <t>56902</t>
  </si>
  <si>
    <t>Sustitucion de equipos de bombeo</t>
  </si>
  <si>
    <t>57000</t>
  </si>
  <si>
    <t>57100</t>
  </si>
  <si>
    <t>57101</t>
  </si>
  <si>
    <t>57200</t>
  </si>
  <si>
    <t>57201</t>
  </si>
  <si>
    <t>57300</t>
  </si>
  <si>
    <t>57301</t>
  </si>
  <si>
    <t>57400</t>
  </si>
  <si>
    <t>57401</t>
  </si>
  <si>
    <t>57500</t>
  </si>
  <si>
    <t>57501</t>
  </si>
  <si>
    <t>57600</t>
  </si>
  <si>
    <t>57601</t>
  </si>
  <si>
    <t>57700</t>
  </si>
  <si>
    <t>57701</t>
  </si>
  <si>
    <t>57800</t>
  </si>
  <si>
    <t>57801</t>
  </si>
  <si>
    <t>57900</t>
  </si>
  <si>
    <t>57901</t>
  </si>
  <si>
    <t>58000</t>
  </si>
  <si>
    <t>58100</t>
  </si>
  <si>
    <t>58101</t>
  </si>
  <si>
    <t>58200</t>
  </si>
  <si>
    <t>58201</t>
  </si>
  <si>
    <t>58300</t>
  </si>
  <si>
    <t>58301</t>
  </si>
  <si>
    <t>58900</t>
  </si>
  <si>
    <t>58901</t>
  </si>
  <si>
    <t>58902</t>
  </si>
  <si>
    <t>58903</t>
  </si>
  <si>
    <t>58904</t>
  </si>
  <si>
    <t>58905</t>
  </si>
  <si>
    <t>58906</t>
  </si>
  <si>
    <t>58907</t>
  </si>
  <si>
    <t>58908</t>
  </si>
  <si>
    <t>58909</t>
  </si>
  <si>
    <t>58910</t>
  </si>
  <si>
    <t>58911</t>
  </si>
  <si>
    <t>59000</t>
  </si>
  <si>
    <t>59100</t>
  </si>
  <si>
    <t>59101</t>
  </si>
  <si>
    <t>59200</t>
  </si>
  <si>
    <t>59201</t>
  </si>
  <si>
    <t>59300</t>
  </si>
  <si>
    <t>59301</t>
  </si>
  <si>
    <t>59400</t>
  </si>
  <si>
    <t>59401</t>
  </si>
  <si>
    <t>59500</t>
  </si>
  <si>
    <t>59501</t>
  </si>
  <si>
    <t>59600</t>
  </si>
  <si>
    <t>59601</t>
  </si>
  <si>
    <t>59700</t>
  </si>
  <si>
    <t>59701</t>
  </si>
  <si>
    <t>59800</t>
  </si>
  <si>
    <t>59801</t>
  </si>
  <si>
    <t>59900</t>
  </si>
  <si>
    <t>59901</t>
  </si>
  <si>
    <t>60000</t>
  </si>
  <si>
    <t>61000</t>
  </si>
  <si>
    <t>61100</t>
  </si>
  <si>
    <t>61101</t>
  </si>
  <si>
    <t>61200</t>
  </si>
  <si>
    <t>61201</t>
  </si>
  <si>
    <t>61300</t>
  </si>
  <si>
    <t>61301</t>
  </si>
  <si>
    <t>61302</t>
  </si>
  <si>
    <t>61303</t>
  </si>
  <si>
    <t>61304</t>
  </si>
  <si>
    <t>61305</t>
  </si>
  <si>
    <t>61306</t>
  </si>
  <si>
    <t>61307</t>
  </si>
  <si>
    <t>61308</t>
  </si>
  <si>
    <t>61400</t>
  </si>
  <si>
    <t>61401</t>
  </si>
  <si>
    <t>61500</t>
  </si>
  <si>
    <t>61501</t>
  </si>
  <si>
    <t>61600</t>
  </si>
  <si>
    <t>61601</t>
  </si>
  <si>
    <t>61700</t>
  </si>
  <si>
    <t>61701</t>
  </si>
  <si>
    <t>61900</t>
  </si>
  <si>
    <t>61901</t>
  </si>
  <si>
    <t>62000</t>
  </si>
  <si>
    <t>62100</t>
  </si>
  <si>
    <t>62101</t>
  </si>
  <si>
    <t>62200</t>
  </si>
  <si>
    <t>62201</t>
  </si>
  <si>
    <t>62300</t>
  </si>
  <si>
    <t>62301</t>
  </si>
  <si>
    <t>62302</t>
  </si>
  <si>
    <t>62303</t>
  </si>
  <si>
    <t>62304</t>
  </si>
  <si>
    <t>62305</t>
  </si>
  <si>
    <t>62400</t>
  </si>
  <si>
    <t>62401</t>
  </si>
  <si>
    <t>ampliacion y rehabilitacion de red de agua potable, ampliacion de red de agua tratada, banquetas PTAR, rehabilitacion de compuertas PTAR, primera etapa del cuarto lecho de secado PTAR</t>
  </si>
  <si>
    <t>62500</t>
  </si>
  <si>
    <t>62501</t>
  </si>
  <si>
    <t>62600</t>
  </si>
  <si>
    <t>62601</t>
  </si>
  <si>
    <t>62700</t>
  </si>
  <si>
    <t>62701</t>
  </si>
  <si>
    <t>62900</t>
  </si>
  <si>
    <t>62901</t>
  </si>
  <si>
    <t>63000</t>
  </si>
  <si>
    <t>63100</t>
  </si>
  <si>
    <t>63101</t>
  </si>
  <si>
    <t>63200</t>
  </si>
  <si>
    <t>63201</t>
  </si>
  <si>
    <t>TOTAL</t>
  </si>
  <si>
    <t xml:space="preserve"> </t>
  </si>
  <si>
    <t>DESEA REVISAR DE NUEVO?</t>
  </si>
  <si>
    <t>“Bajo protesta de decir verdad declaramos que los Estados Financieros y sus notas, son razonablemente correctos y son responsabilidad del emisor.”</t>
  </si>
  <si>
    <t>C.P. Blanca Judit Bencomo Castillo</t>
  </si>
  <si>
    <t>L.C. David Manuel Madrid Ontiveros</t>
  </si>
  <si>
    <t>Directora Financiera</t>
  </si>
  <si>
    <t xml:space="preserve">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</si>
</sst>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0"/>
    <numFmt numFmtId="167" formatCode="000"/>
    <numFmt numFmtId="168" formatCode="d/mm/yy;@"/>
    <numFmt numFmtId="169" formatCode="_(&quot;$&quot;* #,##0.00_);_(&quot;$&quot;* \(#,##0.00\);_(&quot;$&quot;* &quot;-&quot;??_);_(@_)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16365C"/>
      <name val="Arial"/>
      <family val="2"/>
    </font>
    <font>
      <u/>
      <sz val="7.5"/>
      <color indexed="12"/>
      <name val="MS Sans Serif"/>
      <family val="2"/>
    </font>
    <font>
      <b/>
      <sz val="12"/>
      <color rgb="FF16365C"/>
      <name val="Arial"/>
      <family val="2"/>
    </font>
    <font>
      <sz val="10"/>
      <color rgb="FF16365C"/>
      <name val="Arial"/>
      <family val="2"/>
    </font>
    <font>
      <sz val="10"/>
      <name val="MS Sans Serif"/>
      <family val="2"/>
    </font>
    <font>
      <b/>
      <sz val="10"/>
      <color rgb="FF16365C"/>
      <name val="Arial"/>
      <family val="2"/>
    </font>
    <font>
      <sz val="11"/>
      <color rgb="FF16365C"/>
      <name val="Arial"/>
      <family val="2"/>
    </font>
    <font>
      <b/>
      <sz val="9"/>
      <color rgb="FF16365C"/>
      <name val="Arial"/>
      <family val="2"/>
    </font>
    <font>
      <sz val="10"/>
      <color indexed="21"/>
      <name val="Arial"/>
      <family val="2"/>
    </font>
    <font>
      <sz val="10"/>
      <color indexed="16"/>
      <name val="Arial"/>
      <family val="2"/>
    </font>
    <font>
      <sz val="12"/>
      <color rgb="FF16365C"/>
      <name val="Arial"/>
      <family val="2"/>
    </font>
    <font>
      <sz val="8"/>
      <color rgb="FF16365C"/>
      <name val="Arial"/>
      <family val="2"/>
    </font>
    <font>
      <b/>
      <sz val="8"/>
      <color rgb="FF16365C"/>
      <name val="Arial"/>
      <family val="2"/>
    </font>
    <font>
      <b/>
      <sz val="11"/>
      <color rgb="FF16365C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Courier New"/>
      <family val="3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9CCFF"/>
        <bgColor indexed="22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" fontId="24" fillId="0" borderId="0" applyBorder="0" applyAlignment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0">
    <xf numFmtId="0" fontId="0" fillId="0" borderId="0" xfId="0"/>
    <xf numFmtId="164" fontId="5" fillId="0" borderId="0" xfId="2" applyNumberFormat="1" applyFont="1" applyFill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5" fontId="5" fillId="0" borderId="0" xfId="1" applyNumberFormat="1" applyFont="1" applyAlignment="1" applyProtection="1">
      <alignment horizontal="center" vertical="center"/>
    </xf>
    <xf numFmtId="0" fontId="5" fillId="0" borderId="0" xfId="3" applyFont="1" applyAlignment="1" applyProtection="1">
      <alignment horizontal="center" vertical="center"/>
    </xf>
    <xf numFmtId="0" fontId="5" fillId="0" borderId="0" xfId="3" applyFont="1" applyFill="1" applyAlignment="1" applyProtection="1">
      <alignment horizontal="center" vertical="center"/>
    </xf>
    <xf numFmtId="0" fontId="6" fillId="0" borderId="0" xfId="3" applyFont="1" applyAlignment="1" applyProtection="1">
      <alignment vertical="center"/>
    </xf>
    <xf numFmtId="165" fontId="6" fillId="0" borderId="0" xfId="1" applyNumberFormat="1" applyFont="1" applyAlignment="1" applyProtection="1">
      <alignment vertical="center"/>
    </xf>
    <xf numFmtId="0" fontId="2" fillId="0" borderId="0" xfId="3" applyFont="1" applyAlignment="1" applyProtection="1">
      <alignment vertical="center"/>
    </xf>
    <xf numFmtId="164" fontId="6" fillId="0" borderId="0" xfId="3" applyNumberFormat="1" applyFont="1" applyFill="1" applyAlignment="1" applyProtection="1">
      <alignment horizontal="center" vertical="center"/>
    </xf>
    <xf numFmtId="0" fontId="8" fillId="0" borderId="0" xfId="3" applyFont="1" applyAlignment="1" applyProtection="1">
      <alignment horizontal="center" vertical="center"/>
    </xf>
    <xf numFmtId="0" fontId="6" fillId="0" borderId="0" xfId="3" applyFont="1" applyFill="1" applyAlignment="1" applyProtection="1">
      <alignment vertical="center"/>
    </xf>
    <xf numFmtId="164" fontId="8" fillId="0" borderId="0" xfId="3" applyNumberFormat="1" applyFont="1" applyFill="1" applyAlignment="1" applyProtection="1">
      <alignment horizontal="center" vertical="center"/>
    </xf>
    <xf numFmtId="0" fontId="9" fillId="0" borderId="0" xfId="3" applyFont="1" applyAlignment="1" applyProtection="1">
      <alignment horizontal="left" vertical="center"/>
    </xf>
    <xf numFmtId="165" fontId="9" fillId="0" borderId="0" xfId="1" applyNumberFormat="1" applyFont="1" applyAlignment="1" applyProtection="1">
      <alignment horizontal="center" vertical="center"/>
    </xf>
    <xf numFmtId="0" fontId="9" fillId="0" borderId="0" xfId="3" applyFont="1" applyAlignment="1" applyProtection="1">
      <alignment horizontal="center" vertical="center"/>
    </xf>
    <xf numFmtId="0" fontId="9" fillId="0" borderId="0" xfId="3" applyFont="1" applyFill="1" applyAlignment="1" applyProtection="1">
      <alignment horizontal="center" vertical="center"/>
    </xf>
    <xf numFmtId="0" fontId="6" fillId="2" borderId="0" xfId="3" applyFont="1" applyFill="1" applyAlignment="1" applyProtection="1">
      <alignment vertical="center"/>
    </xf>
    <xf numFmtId="0" fontId="6" fillId="2" borderId="0" xfId="3" applyNumberFormat="1" applyFont="1" applyFill="1" applyAlignment="1" applyProtection="1">
      <alignment vertical="center"/>
    </xf>
    <xf numFmtId="164" fontId="6" fillId="2" borderId="0" xfId="3" applyNumberFormat="1" applyFont="1" applyFill="1" applyAlignment="1" applyProtection="1">
      <alignment vertical="center"/>
    </xf>
    <xf numFmtId="0" fontId="6" fillId="0" borderId="0" xfId="3" applyFont="1" applyAlignment="1" applyProtection="1">
      <alignment horizontal="center" vertical="center"/>
    </xf>
    <xf numFmtId="166" fontId="8" fillId="3" borderId="3" xfId="1" applyNumberFormat="1" applyFont="1" applyFill="1" applyBorder="1" applyAlignment="1" applyProtection="1">
      <alignment horizontal="center" vertical="center"/>
    </xf>
    <xf numFmtId="166" fontId="8" fillId="3" borderId="3" xfId="1" quotePrefix="1" applyNumberFormat="1" applyFont="1" applyFill="1" applyBorder="1" applyAlignment="1" applyProtection="1">
      <alignment horizontal="center" vertical="center"/>
    </xf>
    <xf numFmtId="0" fontId="6" fillId="2" borderId="0" xfId="3" applyFont="1" applyFill="1" applyAlignment="1" applyProtection="1">
      <alignment horizontal="center" vertical="center"/>
    </xf>
    <xf numFmtId="0" fontId="6" fillId="0" borderId="0" xfId="3" applyNumberFormat="1" applyFont="1" applyAlignment="1" applyProtection="1">
      <alignment vertical="center"/>
    </xf>
    <xf numFmtId="1" fontId="8" fillId="0" borderId="0" xfId="3" applyNumberFormat="1" applyFont="1" applyFill="1" applyAlignment="1" applyProtection="1">
      <alignment horizontal="center" vertical="center"/>
    </xf>
    <xf numFmtId="164" fontId="5" fillId="5" borderId="6" xfId="3" applyNumberFormat="1" applyFont="1" applyFill="1" applyBorder="1" applyAlignment="1" applyProtection="1">
      <alignment horizontal="center" vertical="center"/>
    </xf>
    <xf numFmtId="165" fontId="10" fillId="3" borderId="11" xfId="1" applyNumberFormat="1" applyFont="1" applyFill="1" applyBorder="1" applyAlignment="1" applyProtection="1">
      <alignment horizontal="center" vertical="center" wrapText="1"/>
    </xf>
    <xf numFmtId="0" fontId="11" fillId="0" borderId="0" xfId="3" applyFont="1" applyAlignment="1" applyProtection="1">
      <alignment vertical="center"/>
    </xf>
    <xf numFmtId="0" fontId="12" fillId="0" borderId="0" xfId="3" applyFont="1" applyAlignment="1" applyProtection="1">
      <alignment vertical="center"/>
    </xf>
    <xf numFmtId="0" fontId="5" fillId="5" borderId="6" xfId="3" applyNumberFormat="1" applyFont="1" applyFill="1" applyBorder="1" applyAlignment="1" applyProtection="1">
      <alignment horizontal="center" vertical="center" wrapText="1"/>
    </xf>
    <xf numFmtId="168" fontId="8" fillId="3" borderId="10" xfId="1" applyNumberFormat="1" applyFont="1" applyFill="1" applyBorder="1" applyAlignment="1" applyProtection="1">
      <alignment horizontal="center" vertical="center"/>
    </xf>
    <xf numFmtId="165" fontId="8" fillId="3" borderId="10" xfId="1" applyNumberFormat="1" applyFont="1" applyFill="1" applyBorder="1" applyAlignment="1" applyProtection="1">
      <alignment horizontal="center" vertical="center"/>
    </xf>
    <xf numFmtId="165" fontId="8" fillId="5" borderId="10" xfId="1" applyNumberFormat="1" applyFont="1" applyFill="1" applyBorder="1" applyAlignment="1" applyProtection="1">
      <alignment horizontal="center" vertical="center"/>
    </xf>
    <xf numFmtId="10" fontId="8" fillId="5" borderId="10" xfId="3" applyNumberFormat="1" applyFont="1" applyFill="1" applyBorder="1" applyAlignment="1" applyProtection="1">
      <alignment horizontal="center" vertical="center"/>
    </xf>
    <xf numFmtId="0" fontId="6" fillId="0" borderId="19" xfId="0" quotePrefix="1" applyNumberFormat="1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164" fontId="9" fillId="0" borderId="19" xfId="1" applyNumberFormat="1" applyFont="1" applyFill="1" applyBorder="1" applyAlignment="1" applyProtection="1">
      <alignment horizontal="right" vertical="center"/>
      <protection locked="0"/>
    </xf>
    <xf numFmtId="165" fontId="14" fillId="0" borderId="19" xfId="1" applyNumberFormat="1" applyFont="1" applyFill="1" applyBorder="1" applyAlignment="1" applyProtection="1">
      <alignment horizontal="right" vertical="center"/>
      <protection locked="0"/>
    </xf>
    <xf numFmtId="0" fontId="6" fillId="0" borderId="0" xfId="3" applyFont="1" applyAlignment="1" applyProtection="1">
      <alignment vertical="center"/>
      <protection locked="0"/>
    </xf>
    <xf numFmtId="165" fontId="9" fillId="0" borderId="20" xfId="1" applyNumberFormat="1" applyFont="1" applyFill="1" applyBorder="1" applyAlignment="1" applyProtection="1">
      <alignment horizontal="right" vertical="center"/>
      <protection locked="0"/>
    </xf>
    <xf numFmtId="0" fontId="6" fillId="0" borderId="21" xfId="3" applyFont="1" applyFill="1" applyBorder="1" applyAlignment="1" applyProtection="1">
      <alignment horizontal="center" vertical="center"/>
    </xf>
    <xf numFmtId="165" fontId="6" fillId="0" borderId="0" xfId="3" applyNumberFormat="1" applyFont="1" applyFill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165" fontId="6" fillId="0" borderId="24" xfId="1" applyNumberFormat="1" applyFont="1" applyBorder="1" applyAlignment="1" applyProtection="1">
      <alignment horizontal="right" vertical="center"/>
    </xf>
    <xf numFmtId="10" fontId="6" fillId="0" borderId="25" xfId="3" applyNumberFormat="1" applyFont="1" applyBorder="1" applyAlignment="1" applyProtection="1">
      <alignment horizontal="right" vertical="center"/>
    </xf>
    <xf numFmtId="165" fontId="6" fillId="0" borderId="25" xfId="1" applyNumberFormat="1" applyFont="1" applyBorder="1" applyAlignment="1" applyProtection="1">
      <alignment horizontal="right" vertical="center"/>
    </xf>
    <xf numFmtId="165" fontId="6" fillId="0" borderId="25" xfId="1" applyNumberFormat="1" applyFont="1" applyBorder="1" applyAlignment="1" applyProtection="1">
      <alignment vertical="center"/>
    </xf>
    <xf numFmtId="10" fontId="6" fillId="0" borderId="26" xfId="3" applyNumberFormat="1" applyFont="1" applyBorder="1" applyAlignment="1" applyProtection="1">
      <alignment horizontal="right" vertical="center"/>
    </xf>
    <xf numFmtId="0" fontId="2" fillId="0" borderId="0" xfId="3" applyFont="1" applyAlignment="1" applyProtection="1">
      <alignment vertical="center"/>
      <protection locked="0"/>
    </xf>
    <xf numFmtId="0" fontId="6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164" fontId="9" fillId="0" borderId="20" xfId="1" applyNumberFormat="1" applyFont="1" applyFill="1" applyBorder="1" applyAlignment="1" applyProtection="1">
      <alignment horizontal="right" vertical="center"/>
      <protection locked="0"/>
    </xf>
    <xf numFmtId="165" fontId="14" fillId="0" borderId="20" xfId="1" applyNumberFormat="1" applyFont="1" applyFill="1" applyBorder="1" applyAlignment="1" applyProtection="1">
      <alignment horizontal="right" vertical="center"/>
      <protection locked="0"/>
    </xf>
    <xf numFmtId="165" fontId="6" fillId="0" borderId="0" xfId="3" applyNumberFormat="1" applyFont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165" fontId="14" fillId="0" borderId="20" xfId="1" applyNumberFormat="1" applyFont="1" applyFill="1" applyBorder="1" applyAlignment="1" applyProtection="1">
      <alignment horizontal="center" vertical="center"/>
      <protection locked="0"/>
    </xf>
    <xf numFmtId="164" fontId="9" fillId="6" borderId="20" xfId="1" applyNumberFormat="1" applyFont="1" applyFill="1" applyBorder="1" applyAlignment="1" applyProtection="1">
      <alignment horizontal="right" vertical="center"/>
      <protection locked="0"/>
    </xf>
    <xf numFmtId="165" fontId="14" fillId="0" borderId="20" xfId="1" applyNumberFormat="1" applyFont="1" applyFill="1" applyBorder="1" applyAlignment="1" applyProtection="1">
      <alignment horizontal="left" vertical="center" wrapText="1"/>
      <protection locked="0"/>
    </xf>
    <xf numFmtId="165" fontId="9" fillId="6" borderId="20" xfId="1" applyNumberFormat="1" applyFont="1" applyFill="1" applyBorder="1" applyAlignment="1" applyProtection="1">
      <alignment horizontal="right" vertical="center"/>
      <protection locked="0"/>
    </xf>
    <xf numFmtId="165" fontId="14" fillId="0" borderId="20" xfId="1" applyNumberFormat="1" applyFont="1" applyFill="1" applyBorder="1" applyAlignment="1" applyProtection="1">
      <alignment horizontal="center" vertical="center" wrapText="1"/>
      <protection locked="0"/>
    </xf>
    <xf numFmtId="165" fontId="15" fillId="0" borderId="20" xfId="1" applyNumberFormat="1" applyFont="1" applyFill="1" applyBorder="1" applyAlignment="1" applyProtection="1">
      <alignment horizontal="center" vertical="center"/>
      <protection locked="0"/>
    </xf>
    <xf numFmtId="0" fontId="6" fillId="0" borderId="27" xfId="0" quotePrefix="1" applyNumberFormat="1" applyFont="1" applyFill="1" applyBorder="1" applyAlignment="1" applyProtection="1">
      <alignment horizontal="left" vertical="center"/>
      <protection locked="0"/>
    </xf>
    <xf numFmtId="0" fontId="13" fillId="0" borderId="27" xfId="0" applyFont="1" applyFill="1" applyBorder="1" applyAlignment="1" applyProtection="1">
      <alignment horizontal="left" vertical="center"/>
      <protection locked="0"/>
    </xf>
    <xf numFmtId="164" fontId="9" fillId="6" borderId="27" xfId="1" applyNumberFormat="1" applyFont="1" applyFill="1" applyBorder="1" applyAlignment="1" applyProtection="1">
      <alignment horizontal="right" vertical="center"/>
      <protection locked="0"/>
    </xf>
    <xf numFmtId="0" fontId="16" fillId="3" borderId="10" xfId="3" applyFont="1" applyFill="1" applyBorder="1" applyAlignment="1" applyProtection="1">
      <alignment vertical="center"/>
    </xf>
    <xf numFmtId="164" fontId="16" fillId="3" borderId="10" xfId="1" applyNumberFormat="1" applyFont="1" applyFill="1" applyBorder="1" applyAlignment="1" applyProtection="1">
      <alignment horizontal="right" vertical="center"/>
    </xf>
    <xf numFmtId="165" fontId="16" fillId="3" borderId="10" xfId="1" applyNumberFormat="1" applyFont="1" applyFill="1" applyBorder="1" applyAlignment="1" applyProtection="1">
      <alignment horizontal="right" vertical="center"/>
    </xf>
    <xf numFmtId="165" fontId="16" fillId="3" borderId="18" xfId="1" applyNumberFormat="1" applyFont="1" applyFill="1" applyBorder="1" applyAlignment="1" applyProtection="1">
      <alignment horizontal="right" vertical="center"/>
    </xf>
    <xf numFmtId="0" fontId="6" fillId="0" borderId="28" xfId="3" applyFont="1" applyBorder="1" applyAlignment="1" applyProtection="1">
      <alignment horizontal="center" vertical="center"/>
    </xf>
    <xf numFmtId="165" fontId="8" fillId="3" borderId="10" xfId="1" applyNumberFormat="1" applyFont="1" applyFill="1" applyBorder="1" applyAlignment="1" applyProtection="1">
      <alignment horizontal="right" vertical="center"/>
    </xf>
    <xf numFmtId="10" fontId="8" fillId="3" borderId="10" xfId="3" applyNumberFormat="1" applyFont="1" applyFill="1" applyBorder="1" applyAlignment="1" applyProtection="1">
      <alignment horizontal="right" vertical="center"/>
    </xf>
    <xf numFmtId="165" fontId="8" fillId="3" borderId="10" xfId="1" applyNumberFormat="1" applyFont="1" applyFill="1" applyBorder="1" applyAlignment="1" applyProtection="1">
      <alignment vertical="center"/>
    </xf>
    <xf numFmtId="164" fontId="6" fillId="0" borderId="0" xfId="3" applyNumberFormat="1" applyFont="1" applyAlignment="1" applyProtection="1">
      <alignment vertical="center"/>
    </xf>
    <xf numFmtId="3" fontId="6" fillId="0" borderId="0" xfId="3" applyNumberFormat="1" applyFont="1" applyAlignment="1" applyProtection="1">
      <alignment horizontal="center" vertical="center"/>
    </xf>
    <xf numFmtId="165" fontId="6" fillId="0" borderId="0" xfId="3" applyNumberFormat="1" applyFont="1" applyAlignment="1" applyProtection="1">
      <alignment vertical="center"/>
    </xf>
    <xf numFmtId="164" fontId="6" fillId="0" borderId="0" xfId="1" applyFont="1" applyAlignment="1" applyProtection="1">
      <alignment vertical="center"/>
    </xf>
    <xf numFmtId="1" fontId="6" fillId="0" borderId="0" xfId="3" applyNumberFormat="1" applyFont="1" applyAlignment="1" applyProtection="1">
      <alignment vertical="center" wrapText="1"/>
    </xf>
    <xf numFmtId="1" fontId="6" fillId="0" borderId="0" xfId="3" applyNumberFormat="1" applyFont="1" applyAlignment="1" applyProtection="1">
      <alignment horizontal="center" vertical="center" wrapText="1"/>
    </xf>
    <xf numFmtId="0" fontId="10" fillId="0" borderId="0" xfId="3" applyFont="1" applyAlignment="1" applyProtection="1">
      <alignment vertical="center" wrapText="1"/>
    </xf>
    <xf numFmtId="164" fontId="10" fillId="0" borderId="0" xfId="3" applyNumberFormat="1" applyFont="1" applyAlignment="1" applyProtection="1">
      <alignment vertical="center" wrapText="1"/>
    </xf>
    <xf numFmtId="164" fontId="16" fillId="0" borderId="0" xfId="1" applyNumberFormat="1" applyFont="1" applyAlignment="1" applyProtection="1">
      <alignment vertical="center" wrapText="1"/>
    </xf>
    <xf numFmtId="165" fontId="10" fillId="0" borderId="0" xfId="3" applyNumberFormat="1" applyFont="1" applyAlignment="1" applyProtection="1">
      <alignment vertical="center" wrapText="1"/>
    </xf>
    <xf numFmtId="0" fontId="6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164" fontId="6" fillId="0" borderId="0" xfId="3" applyNumberFormat="1" applyFont="1" applyAlignment="1" applyProtection="1">
      <alignment horizontal="center" vertical="center"/>
    </xf>
    <xf numFmtId="164" fontId="6" fillId="0" borderId="0" xfId="1" applyNumberFormat="1" applyFont="1" applyAlignment="1" applyProtection="1">
      <alignment vertical="center"/>
    </xf>
    <xf numFmtId="0" fontId="2" fillId="0" borderId="0" xfId="3" applyNumberFormat="1" applyFont="1" applyAlignment="1" applyProtection="1">
      <alignment vertical="center"/>
    </xf>
    <xf numFmtId="164" fontId="2" fillId="0" borderId="0" xfId="3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165" fontId="2" fillId="0" borderId="0" xfId="1" applyNumberFormat="1" applyFont="1" applyAlignment="1" applyProtection="1">
      <alignment vertical="center"/>
    </xf>
    <xf numFmtId="0" fontId="2" fillId="0" borderId="0" xfId="3" applyFont="1" applyAlignment="1" applyProtection="1">
      <alignment horizontal="center" vertical="center"/>
    </xf>
    <xf numFmtId="0" fontId="6" fillId="2" borderId="0" xfId="3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1" fontId="3" fillId="2" borderId="0" xfId="3" applyNumberFormat="1" applyFont="1" applyFill="1" applyAlignment="1" applyProtection="1">
      <alignment horizontal="center" vertical="center"/>
    </xf>
    <xf numFmtId="165" fontId="8" fillId="3" borderId="1" xfId="1" applyNumberFormat="1" applyFont="1" applyFill="1" applyBorder="1" applyAlignment="1" applyProtection="1">
      <alignment horizontal="center" vertical="center"/>
    </xf>
    <xf numFmtId="165" fontId="8" fillId="3" borderId="2" xfId="1" applyNumberFormat="1" applyFont="1" applyFill="1" applyBorder="1" applyAlignment="1" applyProtection="1">
      <alignment horizontal="center" vertical="center"/>
    </xf>
    <xf numFmtId="1" fontId="3" fillId="4" borderId="0" xfId="3" applyNumberFormat="1" applyFont="1" applyFill="1" applyAlignment="1" applyProtection="1">
      <alignment horizontal="center" vertical="center"/>
    </xf>
    <xf numFmtId="0" fontId="8" fillId="5" borderId="13" xfId="3" applyFont="1" applyFill="1" applyBorder="1" applyAlignment="1" applyProtection="1">
      <alignment horizontal="center" vertical="center" wrapText="1"/>
    </xf>
    <xf numFmtId="0" fontId="8" fillId="5" borderId="14" xfId="3" applyFont="1" applyFill="1" applyBorder="1" applyAlignment="1" applyProtection="1">
      <alignment horizontal="center" vertical="center" wrapText="1"/>
    </xf>
    <xf numFmtId="0" fontId="10" fillId="3" borderId="4" xfId="3" applyFont="1" applyFill="1" applyBorder="1" applyAlignment="1" applyProtection="1">
      <alignment horizontal="center" vertical="center"/>
    </xf>
    <xf numFmtId="167" fontId="5" fillId="5" borderId="5" xfId="3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5" fillId="5" borderId="6" xfId="3" applyNumberFormat="1" applyFont="1" applyFill="1" applyBorder="1" applyAlignment="1" applyProtection="1">
      <alignment horizontal="center" vertical="center"/>
    </xf>
    <xf numFmtId="0" fontId="5" fillId="5" borderId="7" xfId="3" applyFont="1" applyFill="1" applyBorder="1" applyAlignment="1" applyProtection="1">
      <alignment horizontal="center" vertical="center"/>
    </xf>
    <xf numFmtId="0" fontId="5" fillId="5" borderId="15" xfId="3" applyFont="1" applyFill="1" applyBorder="1" applyAlignment="1" applyProtection="1">
      <alignment horizontal="center" vertical="center"/>
    </xf>
    <xf numFmtId="0" fontId="8" fillId="3" borderId="6" xfId="3" applyFont="1" applyFill="1" applyBorder="1" applyAlignment="1" applyProtection="1">
      <alignment horizontal="center" vertical="center" wrapText="1"/>
    </xf>
    <xf numFmtId="164" fontId="5" fillId="3" borderId="8" xfId="3" applyNumberFormat="1" applyFont="1" applyFill="1" applyBorder="1" applyAlignment="1" applyProtection="1">
      <alignment horizontal="center" vertical="center" wrapText="1"/>
    </xf>
    <xf numFmtId="164" fontId="5" fillId="3" borderId="9" xfId="3" applyNumberFormat="1" applyFont="1" applyFill="1" applyBorder="1" applyAlignment="1" applyProtection="1">
      <alignment horizontal="center" vertical="center" wrapText="1"/>
    </xf>
    <xf numFmtId="164" fontId="5" fillId="3" borderId="16" xfId="3" applyNumberFormat="1" applyFont="1" applyFill="1" applyBorder="1" applyAlignment="1" applyProtection="1">
      <alignment horizontal="center" vertical="center" wrapText="1"/>
    </xf>
    <xf numFmtId="165" fontId="10" fillId="3" borderId="10" xfId="1" applyNumberFormat="1" applyFont="1" applyFill="1" applyBorder="1" applyAlignment="1" applyProtection="1">
      <alignment horizontal="center" vertical="center" wrapText="1"/>
    </xf>
    <xf numFmtId="0" fontId="6" fillId="0" borderId="11" xfId="3" applyFont="1" applyBorder="1" applyAlignment="1" applyProtection="1">
      <alignment horizontal="center" vertical="center" wrapText="1"/>
    </xf>
    <xf numFmtId="0" fontId="6" fillId="0" borderId="17" xfId="3" applyFont="1" applyBorder="1" applyAlignment="1" applyProtection="1">
      <alignment horizontal="center" vertical="center" wrapText="1"/>
    </xf>
    <xf numFmtId="1" fontId="6" fillId="0" borderId="0" xfId="3" applyNumberFormat="1" applyFont="1" applyAlignment="1" applyProtection="1">
      <alignment horizontal="center" vertical="center" wrapText="1"/>
    </xf>
    <xf numFmtId="0" fontId="6" fillId="0" borderId="12" xfId="3" applyFont="1" applyBorder="1" applyAlignment="1" applyProtection="1">
      <alignment horizontal="center" vertical="center" wrapText="1"/>
    </xf>
    <xf numFmtId="0" fontId="6" fillId="0" borderId="18" xfId="3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Protection="1">
      <protection locked="0"/>
    </xf>
  </cellXfs>
  <cellStyles count="22">
    <cellStyle name="Comma 2" xfId="4"/>
    <cellStyle name="Comma 3" xfId="5"/>
    <cellStyle name="Comma 4" xfId="6"/>
    <cellStyle name="Currency 2" xfId="7"/>
    <cellStyle name="Hipervínculo" xfId="2" builtinId="8"/>
    <cellStyle name="Millares" xfId="1" builtinId="3"/>
    <cellStyle name="Millares 2" xfId="8"/>
    <cellStyle name="Millares 2 2" xfId="9"/>
    <cellStyle name="Millares 2 3" xfId="10"/>
    <cellStyle name="Millares 3" xfId="11"/>
    <cellStyle name="Millares 3 2" xfId="12"/>
    <cellStyle name="Millares 4" xfId="13"/>
    <cellStyle name="Millares 4 2" xfId="14"/>
    <cellStyle name="Normal" xfId="0" builtinId="0"/>
    <cellStyle name="Normal 2" xfId="15"/>
    <cellStyle name="Normal 3" xfId="16"/>
    <cellStyle name="Normal 4" xfId="17"/>
    <cellStyle name="Normal_FORMATO DEL PPTO. 2002  SEPT. 4" xfId="3"/>
    <cellStyle name="Numero" xfId="18"/>
    <cellStyle name="Percent 2" xfId="19"/>
    <cellStyle name="Porcentaje 2" xfId="20"/>
    <cellStyle name="Porcentual_ANALISIS TARIFAS 99" xfId="21"/>
  </cellStyles>
  <dxfs count="40">
    <dxf>
      <font>
        <color theme="4" tint="-0.499984740745262"/>
      </font>
      <fill>
        <patternFill>
          <bgColor rgb="FFFFFFCC"/>
        </patternFill>
      </fill>
    </dxf>
    <dxf>
      <font>
        <b/>
        <i val="0"/>
        <color theme="4" tint="-0.499984740745262"/>
      </font>
      <fill>
        <patternFill patternType="none">
          <bgColor indexed="65"/>
        </patternFill>
      </fill>
    </dxf>
    <dxf>
      <font>
        <color theme="4" tint="-0.499984740745262"/>
      </font>
      <fill>
        <patternFill>
          <bgColor rgb="FFFFFFCC"/>
        </patternFill>
      </fill>
    </dxf>
    <dxf>
      <font>
        <b/>
        <i val="0"/>
        <color theme="4" tint="-0.499984740745262"/>
      </font>
      <fill>
        <patternFill patternType="none">
          <bgColor indexed="65"/>
        </patternFill>
      </fill>
    </dxf>
    <dxf>
      <font>
        <color theme="4" tint="-0.499984740745262"/>
      </font>
      <fill>
        <patternFill>
          <bgColor rgb="FFFFFFCC"/>
        </patternFill>
      </fill>
    </dxf>
    <dxf>
      <font>
        <b/>
        <i val="0"/>
        <color theme="4" tint="-0.499984740745262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ont>
        <b/>
        <i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133311</xdr:colOff>
      <xdr:row>0</xdr:row>
      <xdr:rowOff>0</xdr:rowOff>
    </xdr:from>
    <xdr:to>
      <xdr:col>7</xdr:col>
      <xdr:colOff>925356</xdr:colOff>
      <xdr:row>6</xdr:row>
      <xdr:rowOff>26453</xdr:rowOff>
    </xdr:to>
    <xdr:sp macro="" textlink="">
      <xdr:nvSpPr>
        <xdr:cNvPr id="2" name="AutoShape 10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flipH="1">
          <a:off x="13220661" y="0"/>
          <a:ext cx="792045" cy="1293278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chemeClr val="accent5">
            <a:lumMod val="75000"/>
          </a:schemeClr>
        </a:solidFill>
        <a:ln w="9525" algn="ctr">
          <a:miter lim="800000"/>
          <a:headEnd/>
          <a:tailEnd/>
        </a:ln>
        <a:effectLst/>
        <a:scene3d>
          <a:camera prst="legacyObliqueTopRight"/>
          <a:lightRig rig="legacyFlat3" dir="b"/>
        </a:scene3d>
        <a:sp3d extrusionH="100000" prstMaterial="legacyPlastic">
          <a:bevelT w="13500" h="13500" prst="angle"/>
          <a:bevelB w="13500" h="13500" prst="angle"/>
        </a:sp3d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es-ES" sz="1200" b="1" i="0" strike="noStrike">
              <a:solidFill>
                <a:schemeClr val="bg1"/>
              </a:solidFill>
              <a:latin typeface="Arial"/>
              <a:cs typeface="Arial"/>
            </a:rPr>
            <a:t>Ir a</a:t>
          </a:r>
        </a:p>
        <a:p>
          <a:pPr algn="ctr" rtl="1">
            <a:defRPr sz="1000"/>
          </a:pPr>
          <a:r>
            <a:rPr lang="es-ES" sz="1200" b="1" i="0" strike="noStrike">
              <a:solidFill>
                <a:schemeClr val="bg1"/>
              </a:solidFill>
              <a:latin typeface="Arial"/>
              <a:cs typeface="Arial"/>
            </a:rPr>
            <a:t>Indice</a:t>
          </a:r>
        </a:p>
      </xdr:txBody>
    </xdr:sp>
    <xdr:clientData/>
  </xdr:twoCellAnchor>
  <xdr:twoCellAnchor editAs="oneCell">
    <xdr:from>
      <xdr:col>6</xdr:col>
      <xdr:colOff>2905125</xdr:colOff>
      <xdr:row>0</xdr:row>
      <xdr:rowOff>76200</xdr:rowOff>
    </xdr:from>
    <xdr:to>
      <xdr:col>6</xdr:col>
      <xdr:colOff>5067300</xdr:colOff>
      <xdr:row>3</xdr:row>
      <xdr:rowOff>76200</xdr:rowOff>
    </xdr:to>
    <xdr:pic>
      <xdr:nvPicPr>
        <xdr:cNvPr id="3" name="7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7620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142875</xdr:colOff>
      <xdr:row>0</xdr:row>
      <xdr:rowOff>104775</xdr:rowOff>
    </xdr:from>
    <xdr:to>
      <xdr:col>2</xdr:col>
      <xdr:colOff>1552575</xdr:colOff>
      <xdr:row>3</xdr:row>
      <xdr:rowOff>171450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21526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Tesoreria/1BPRESUPUESTOS/PRESUPUESTO%202023/Vigente%20proyecto%20de%20presupuesto%20%20JMAS%20de%20NCG%202023%20enviado%20a%20J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arametros"/>
      <sheetName val="Indicadores"/>
      <sheetName val="Validación"/>
      <sheetName val="C.N.A."/>
      <sheetName val="Efic. Global"/>
      <sheetName val="m3 valor"/>
      <sheetName val="Evaluacion"/>
      <sheetName val="Concen."/>
      <sheetName val="Hoja1"/>
      <sheetName val="Edo. Activ."/>
      <sheetName val="Fac-cob"/>
      <sheetName val="PIGOO"/>
      <sheetName val="Balanza Ingresos"/>
      <sheetName val="Balanza Egresos"/>
      <sheetName val="COG"/>
      <sheetName val="Inversiones"/>
      <sheetName val="Creditos"/>
      <sheetName val="Ingresos"/>
      <sheetName val="Usuarios"/>
      <sheetName val="Serv. Med. Dom"/>
      <sheetName val="Serv. Med. Dom (2)"/>
      <sheetName val="Serv. Med. Com"/>
      <sheetName val="Serv. Med. Com (2)"/>
      <sheetName val="Serv. Med. ind"/>
      <sheetName val="Serv. Med. ind (2)"/>
      <sheetName val="Serv. Med. Esc"/>
      <sheetName val="Serv. Med. Esc (2)"/>
      <sheetName val="Serv. Med. Pub"/>
      <sheetName val="Serv. Med. Pub (2)"/>
      <sheetName val="Cuota fija"/>
      <sheetName val="Cuota fija (2)"/>
      <sheetName val="Tarifa"/>
      <sheetName val="Precio de Venta X M3"/>
      <sheetName val="Estructura"/>
      <sheetName val="Empleados"/>
      <sheetName val="Tabulador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l-Lab)"/>
      <sheetName val="Sueldo(Ev-Lab)"/>
      <sheetName val="Sueldo(Pensi)"/>
      <sheetName val="C.F.E."/>
      <sheetName val="Vehiculos"/>
      <sheetName val="POI"/>
      <sheetName val="PASIVOS"/>
      <sheetName val="Analisis de Precios"/>
      <sheetName val="Personal"/>
    </sheetNames>
    <sheetDataSet>
      <sheetData sheetId="0">
        <row r="3">
          <cell r="A3" t="str">
            <v>Presupuesto 2023</v>
          </cell>
        </row>
      </sheetData>
      <sheetData sheetId="1">
        <row r="1">
          <cell r="A1" t="str">
            <v xml:space="preserve">JUNTA MUNICIPAL DE AGUA Y SANEAMIENTO DE NUEVO CASAS GRANDES </v>
          </cell>
        </row>
        <row r="10">
          <cell r="B10">
            <v>2023</v>
          </cell>
        </row>
        <row r="12">
          <cell r="B12" t="str">
            <v>Agosto</v>
          </cell>
          <cell r="E12">
            <v>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01</v>
          </cell>
        </row>
        <row r="3">
          <cell r="A3" t="str">
            <v>10000</v>
          </cell>
          <cell r="B3" t="str">
            <v>SERVICIOS PERSONALES</v>
          </cell>
          <cell r="C3" t="str">
            <v>01</v>
          </cell>
          <cell r="F3">
            <v>9546162.3699999992</v>
          </cell>
          <cell r="V3">
            <v>4510714.3600000003</v>
          </cell>
        </row>
        <row r="4">
          <cell r="A4" t="str">
            <v>11000</v>
          </cell>
          <cell r="B4" t="str">
            <v>REMUNERACIONES AL PERSONAL DE CARÁCTER PERMANENTE</v>
          </cell>
          <cell r="C4" t="str">
            <v>01</v>
          </cell>
          <cell r="F4">
            <v>3901922.08</v>
          </cell>
          <cell r="V4">
            <v>2443855.21</v>
          </cell>
        </row>
        <row r="5">
          <cell r="A5" t="str">
            <v>11300</v>
          </cell>
          <cell r="B5" t="str">
            <v xml:space="preserve">  Sueldos base al personal permanente</v>
          </cell>
          <cell r="C5" t="str">
            <v>01</v>
          </cell>
          <cell r="F5">
            <v>3901922.08</v>
          </cell>
          <cell r="V5">
            <v>2443855.21</v>
          </cell>
        </row>
        <row r="6">
          <cell r="A6" t="str">
            <v>11301</v>
          </cell>
          <cell r="B6" t="str">
            <v xml:space="preserve">  Sueldos base al personal permanente</v>
          </cell>
          <cell r="C6" t="str">
            <v>01</v>
          </cell>
          <cell r="F6">
            <v>3901922.08</v>
          </cell>
          <cell r="V6">
            <v>2443855.21</v>
          </cell>
        </row>
        <row r="7">
          <cell r="A7" t="str">
            <v>12000</v>
          </cell>
          <cell r="B7" t="str">
            <v>REMUNERACIONES AL PERSONAL DE CARÁCTER TRANSITORIO</v>
          </cell>
          <cell r="C7" t="str">
            <v>01</v>
          </cell>
          <cell r="F7">
            <v>22045.8</v>
          </cell>
          <cell r="V7">
            <v>2940</v>
          </cell>
        </row>
        <row r="8">
          <cell r="A8" t="str">
            <v>12300</v>
          </cell>
          <cell r="B8" t="str">
            <v xml:space="preserve">  Retribuciones por servicios de carácter social</v>
          </cell>
          <cell r="C8" t="str">
            <v>01</v>
          </cell>
          <cell r="F8">
            <v>22045.8</v>
          </cell>
          <cell r="V8">
            <v>2940</v>
          </cell>
        </row>
        <row r="9">
          <cell r="A9" t="str">
            <v>12301</v>
          </cell>
          <cell r="B9" t="str">
            <v xml:space="preserve">  Retribuciones por servicios de carácter social</v>
          </cell>
          <cell r="C9" t="str">
            <v>01</v>
          </cell>
          <cell r="F9">
            <v>22045.8</v>
          </cell>
          <cell r="V9">
            <v>2940</v>
          </cell>
        </row>
        <row r="10">
          <cell r="A10" t="str">
            <v>13000</v>
          </cell>
          <cell r="B10" t="str">
            <v>REMUNERACIONES ADICIONALES Y ESPECIALES</v>
          </cell>
          <cell r="C10" t="str">
            <v>01</v>
          </cell>
          <cell r="F10">
            <v>1924427.77</v>
          </cell>
          <cell r="V10">
            <v>643504.97</v>
          </cell>
        </row>
        <row r="11">
          <cell r="A11" t="str">
            <v>13200</v>
          </cell>
          <cell r="B11" t="str">
            <v xml:space="preserve">  Primas de vacaciones, dominical y gratificación de fin de año</v>
          </cell>
          <cell r="C11" t="str">
            <v>01</v>
          </cell>
          <cell r="F11">
            <v>991449.74</v>
          </cell>
          <cell r="V11">
            <v>179436.13</v>
          </cell>
        </row>
        <row r="12">
          <cell r="A12" t="str">
            <v>13201</v>
          </cell>
          <cell r="B12" t="str">
            <v xml:space="preserve">  Gratificación anual</v>
          </cell>
          <cell r="C12" t="str">
            <v>01</v>
          </cell>
          <cell r="F12">
            <v>626955.11</v>
          </cell>
          <cell r="V12">
            <v>1147.19</v>
          </cell>
        </row>
        <row r="13">
          <cell r="A13" t="str">
            <v>13202</v>
          </cell>
          <cell r="B13" t="str">
            <v xml:space="preserve">  Prima Vacacional</v>
          </cell>
          <cell r="C13" t="str">
            <v>01</v>
          </cell>
          <cell r="F13">
            <v>364494.63</v>
          </cell>
          <cell r="V13">
            <v>178288.94</v>
          </cell>
        </row>
        <row r="14">
          <cell r="A14" t="str">
            <v>13300</v>
          </cell>
          <cell r="B14" t="str">
            <v xml:space="preserve">  Horas extraordinarias</v>
          </cell>
          <cell r="C14" t="str">
            <v>01</v>
          </cell>
          <cell r="F14">
            <v>258059.21</v>
          </cell>
          <cell r="V14">
            <v>44697.440000000002</v>
          </cell>
        </row>
        <row r="15">
          <cell r="A15" t="str">
            <v>13301</v>
          </cell>
          <cell r="B15" t="str">
            <v xml:space="preserve">  Horas extraordinarias</v>
          </cell>
          <cell r="C15" t="str">
            <v>01</v>
          </cell>
          <cell r="F15">
            <v>54723.91</v>
          </cell>
          <cell r="V15">
            <v>28207.27</v>
          </cell>
        </row>
        <row r="16">
          <cell r="A16" t="str">
            <v>13302</v>
          </cell>
          <cell r="B16" t="str">
            <v xml:space="preserve">  Vacaciones Pagadas</v>
          </cell>
          <cell r="C16" t="str">
            <v>01</v>
          </cell>
          <cell r="F16">
            <v>203335.3</v>
          </cell>
          <cell r="V16">
            <v>16490.169999999998</v>
          </cell>
        </row>
        <row r="17">
          <cell r="A17" t="str">
            <v>13400</v>
          </cell>
          <cell r="B17" t="str">
            <v xml:space="preserve">  Compensaciones</v>
          </cell>
          <cell r="C17" t="str">
            <v>01</v>
          </cell>
          <cell r="F17">
            <v>674918.82</v>
          </cell>
          <cell r="V17">
            <v>419371.4</v>
          </cell>
        </row>
        <row r="18">
          <cell r="A18" t="str">
            <v>13401</v>
          </cell>
          <cell r="B18" t="str">
            <v xml:space="preserve">  Compensaciones</v>
          </cell>
          <cell r="C18" t="str">
            <v>01</v>
          </cell>
          <cell r="F18">
            <v>472013.76</v>
          </cell>
          <cell r="V18">
            <v>303681.40000000002</v>
          </cell>
        </row>
        <row r="19">
          <cell r="A19" t="str">
            <v>13403</v>
          </cell>
          <cell r="B19" t="str">
            <v xml:space="preserve">  Bono Complementario</v>
          </cell>
          <cell r="C19" t="str">
            <v>01</v>
          </cell>
          <cell r="F19">
            <v>202905.06</v>
          </cell>
          <cell r="V19">
            <v>115690</v>
          </cell>
        </row>
        <row r="20">
          <cell r="A20" t="str">
            <v>14000</v>
          </cell>
          <cell r="B20" t="str">
            <v>SEGURIDAD SOCIAL</v>
          </cell>
          <cell r="C20" t="str">
            <v>01</v>
          </cell>
          <cell r="F20">
            <v>1204434.47</v>
          </cell>
          <cell r="V20">
            <v>385058.02</v>
          </cell>
        </row>
        <row r="21">
          <cell r="A21" t="str">
            <v>14100</v>
          </cell>
          <cell r="B21" t="str">
            <v xml:space="preserve">  Aportaciones de seguridad social</v>
          </cell>
          <cell r="C21" t="str">
            <v>01</v>
          </cell>
          <cell r="F21">
            <v>207993.55</v>
          </cell>
          <cell r="V21">
            <v>175128.5</v>
          </cell>
        </row>
        <row r="22">
          <cell r="A22" t="str">
            <v>14101</v>
          </cell>
          <cell r="B22" t="str">
            <v xml:space="preserve">  Aportaciones a Pensiones</v>
          </cell>
          <cell r="C22" t="str">
            <v>01</v>
          </cell>
          <cell r="F22">
            <v>167063.10999999999</v>
          </cell>
          <cell r="V22">
            <v>156323.84</v>
          </cell>
        </row>
        <row r="23">
          <cell r="A23" t="str">
            <v>14103</v>
          </cell>
          <cell r="B23" t="str">
            <v xml:space="preserve">  Aportaciones al ICHISAL</v>
          </cell>
          <cell r="C23" t="str">
            <v>01</v>
          </cell>
          <cell r="F23">
            <v>40930.44</v>
          </cell>
          <cell r="V23">
            <v>18804.66</v>
          </cell>
        </row>
        <row r="24">
          <cell r="A24" t="str">
            <v>14300</v>
          </cell>
          <cell r="B24" t="str">
            <v xml:space="preserve">  Aportaciones al sistema para el retiro</v>
          </cell>
          <cell r="C24" t="str">
            <v>01</v>
          </cell>
          <cell r="F24">
            <v>996440.92</v>
          </cell>
          <cell r="V24">
            <v>209929.52</v>
          </cell>
        </row>
        <row r="25">
          <cell r="A25" t="str">
            <v>14301</v>
          </cell>
          <cell r="B25" t="str">
            <v xml:space="preserve">  Aportaciones para el fondo propio</v>
          </cell>
          <cell r="C25" t="str">
            <v>01</v>
          </cell>
          <cell r="F25">
            <v>996440.92</v>
          </cell>
          <cell r="V25">
            <v>209929.52</v>
          </cell>
        </row>
        <row r="26">
          <cell r="A26" t="str">
            <v>15000</v>
          </cell>
          <cell r="B26" t="str">
            <v>OTRAS PRESTACIONES SOCIALES Y ECONÓMICAS</v>
          </cell>
          <cell r="C26" t="str">
            <v>01</v>
          </cell>
          <cell r="F26">
            <v>2493332.25</v>
          </cell>
          <cell r="V26">
            <v>1035356.16</v>
          </cell>
        </row>
        <row r="27">
          <cell r="A27" t="str">
            <v>15200</v>
          </cell>
          <cell r="B27" t="str">
            <v xml:space="preserve">  Indemnizaciones</v>
          </cell>
          <cell r="C27" t="str">
            <v>01</v>
          </cell>
          <cell r="F27">
            <v>898197.25</v>
          </cell>
          <cell r="V27">
            <v>256819.73</v>
          </cell>
        </row>
        <row r="28">
          <cell r="A28" t="str">
            <v>15201</v>
          </cell>
          <cell r="B28" t="str">
            <v xml:space="preserve">  Indemnizaciones</v>
          </cell>
          <cell r="C28" t="str">
            <v>01</v>
          </cell>
          <cell r="F28">
            <v>898197.25</v>
          </cell>
          <cell r="V28">
            <v>256819.73</v>
          </cell>
        </row>
        <row r="29">
          <cell r="A29" t="str">
            <v>15400</v>
          </cell>
          <cell r="B29" t="str">
            <v xml:space="preserve">  Prestaciones contractuales</v>
          </cell>
          <cell r="C29" t="str">
            <v>01</v>
          </cell>
          <cell r="F29">
            <v>1372896.2</v>
          </cell>
          <cell r="V29">
            <v>734536.43</v>
          </cell>
        </row>
        <row r="30">
          <cell r="A30" t="str">
            <v>15401</v>
          </cell>
          <cell r="B30" t="str">
            <v xml:space="preserve">  Ayuda para lentes</v>
          </cell>
          <cell r="C30" t="str">
            <v>01</v>
          </cell>
          <cell r="F30">
            <v>40313</v>
          </cell>
          <cell r="V30">
            <v>2000</v>
          </cell>
        </row>
        <row r="31">
          <cell r="A31" t="str">
            <v>15404</v>
          </cell>
          <cell r="B31" t="str">
            <v xml:space="preserve">  Despensa</v>
          </cell>
          <cell r="C31" t="str">
            <v>01</v>
          </cell>
          <cell r="F31">
            <v>830303.69</v>
          </cell>
          <cell r="V31">
            <v>512969.03</v>
          </cell>
        </row>
        <row r="32">
          <cell r="A32" t="str">
            <v>15407</v>
          </cell>
          <cell r="B32" t="str">
            <v xml:space="preserve">  Aguabono</v>
          </cell>
          <cell r="C32" t="str">
            <v>01</v>
          </cell>
          <cell r="F32">
            <v>96560.7</v>
          </cell>
          <cell r="V32">
            <v>45820</v>
          </cell>
        </row>
        <row r="33">
          <cell r="A33" t="str">
            <v>15408</v>
          </cell>
          <cell r="B33" t="str">
            <v xml:space="preserve">  2% Sobre Sueldo</v>
          </cell>
          <cell r="C33" t="str">
            <v>01</v>
          </cell>
          <cell r="F33">
            <v>55242.69</v>
          </cell>
          <cell r="V33">
            <v>35347.4</v>
          </cell>
        </row>
        <row r="34">
          <cell r="A34" t="str">
            <v>15409</v>
          </cell>
          <cell r="B34" t="str">
            <v xml:space="preserve">  Otras Prestaciones Contractuales</v>
          </cell>
          <cell r="C34" t="str">
            <v>01</v>
          </cell>
          <cell r="F34">
            <v>350476.12</v>
          </cell>
          <cell r="V34">
            <v>138400</v>
          </cell>
        </row>
        <row r="35">
          <cell r="A35" t="str">
            <v>15900</v>
          </cell>
          <cell r="B35" t="str">
            <v xml:space="preserve">  Otras prestaciones sociales y económicas</v>
          </cell>
          <cell r="C35" t="str">
            <v>01</v>
          </cell>
          <cell r="F35">
            <v>222238.8</v>
          </cell>
          <cell r="V35">
            <v>44000</v>
          </cell>
        </row>
        <row r="36">
          <cell r="A36" t="str">
            <v>15901</v>
          </cell>
          <cell r="B36" t="str">
            <v xml:space="preserve">  Otras prestaciones sociales y económicas</v>
          </cell>
          <cell r="C36" t="str">
            <v>01</v>
          </cell>
          <cell r="F36">
            <v>168178.8</v>
          </cell>
          <cell r="V36">
            <v>0</v>
          </cell>
        </row>
        <row r="37">
          <cell r="A37" t="str">
            <v>15903</v>
          </cell>
          <cell r="B37" t="str">
            <v xml:space="preserve">  Becas para los hijos de los empleados</v>
          </cell>
          <cell r="C37" t="str">
            <v>01</v>
          </cell>
          <cell r="F37">
            <v>54060</v>
          </cell>
          <cell r="V37">
            <v>44000</v>
          </cell>
        </row>
        <row r="38">
          <cell r="A38" t="str">
            <v>20000</v>
          </cell>
          <cell r="B38" t="str">
            <v>MATERIALES Y SUMINISTROS</v>
          </cell>
          <cell r="C38" t="str">
            <v>01</v>
          </cell>
          <cell r="F38">
            <v>1235858.23</v>
          </cell>
          <cell r="V38">
            <v>815268.04</v>
          </cell>
        </row>
        <row r="39">
          <cell r="A39" t="str">
            <v>21000</v>
          </cell>
          <cell r="B39" t="str">
            <v>MATERIALES DE ADMINISTRACIÓN, EMISIÓN DE DOCUMENTOS Y ARTÍCULOS OFICIALES</v>
          </cell>
          <cell r="C39" t="str">
            <v>01</v>
          </cell>
          <cell r="F39">
            <v>488739.2</v>
          </cell>
          <cell r="V39">
            <v>311446.25</v>
          </cell>
        </row>
        <row r="40">
          <cell r="A40" t="str">
            <v>21100</v>
          </cell>
          <cell r="B40" t="str">
            <v xml:space="preserve">  Materiales, útiles y equipos menores de oficina</v>
          </cell>
          <cell r="C40" t="str">
            <v>01</v>
          </cell>
          <cell r="F40">
            <v>126503.82</v>
          </cell>
          <cell r="V40">
            <v>82844.210000000006</v>
          </cell>
        </row>
        <row r="41">
          <cell r="A41" t="str">
            <v>21101</v>
          </cell>
          <cell r="B41" t="str">
            <v xml:space="preserve">  Materiales, útiles y equipos menores de oficina</v>
          </cell>
          <cell r="C41" t="str">
            <v>01</v>
          </cell>
          <cell r="F41">
            <v>126503.82</v>
          </cell>
          <cell r="V41">
            <v>82844.210000000006</v>
          </cell>
        </row>
        <row r="42">
          <cell r="A42" t="str">
            <v>21200</v>
          </cell>
          <cell r="B42" t="str">
            <v xml:space="preserve">  Materiales y útiles de impresión y reproducción</v>
          </cell>
          <cell r="C42" t="str">
            <v>01</v>
          </cell>
          <cell r="F42">
            <v>95218.03</v>
          </cell>
          <cell r="V42">
            <v>88688.42</v>
          </cell>
        </row>
        <row r="43">
          <cell r="A43" t="str">
            <v>21201</v>
          </cell>
          <cell r="B43" t="str">
            <v xml:space="preserve">  Materiales y útiles de impresión y reproducción</v>
          </cell>
          <cell r="C43" t="str">
            <v>01</v>
          </cell>
          <cell r="F43">
            <v>95218.03</v>
          </cell>
          <cell r="V43">
            <v>88688.42</v>
          </cell>
        </row>
        <row r="44">
          <cell r="A44" t="str">
            <v>21400</v>
          </cell>
          <cell r="B44" t="str">
            <v xml:space="preserve">  Materiales, útiles y equipos menores de tecnologías de la información y comunicaciones</v>
          </cell>
          <cell r="C44" t="str">
            <v>01</v>
          </cell>
          <cell r="F44">
            <v>19714.95</v>
          </cell>
          <cell r="V44">
            <v>0</v>
          </cell>
        </row>
        <row r="45">
          <cell r="A45" t="str">
            <v>21401</v>
          </cell>
          <cell r="B45" t="str">
            <v xml:space="preserve">  Materiales, útiles y equipos menores de tecnologías de la información y comunicaciones</v>
          </cell>
          <cell r="C45" t="str">
            <v>01</v>
          </cell>
          <cell r="F45">
            <v>19714.95</v>
          </cell>
          <cell r="V45">
            <v>0</v>
          </cell>
        </row>
        <row r="46">
          <cell r="A46" t="str">
            <v>21500</v>
          </cell>
          <cell r="B46" t="str">
            <v xml:space="preserve">  Material impreso e información digital</v>
          </cell>
          <cell r="C46" t="str">
            <v>01</v>
          </cell>
          <cell r="F46">
            <v>49994.080000000002</v>
          </cell>
          <cell r="V46">
            <v>23238</v>
          </cell>
        </row>
        <row r="47">
          <cell r="A47" t="str">
            <v>21501</v>
          </cell>
          <cell r="B47" t="str">
            <v xml:space="preserve">  Material impreso e información digital</v>
          </cell>
          <cell r="C47" t="str">
            <v>01</v>
          </cell>
          <cell r="F47">
            <v>49994.080000000002</v>
          </cell>
          <cell r="V47">
            <v>23238</v>
          </cell>
        </row>
        <row r="48">
          <cell r="A48" t="str">
            <v>21600</v>
          </cell>
          <cell r="B48" t="str">
            <v xml:space="preserve">  Material de limpieza</v>
          </cell>
          <cell r="C48" t="str">
            <v>01</v>
          </cell>
          <cell r="F48">
            <v>61958.25</v>
          </cell>
          <cell r="V48">
            <v>33738.370000000003</v>
          </cell>
        </row>
        <row r="49">
          <cell r="A49" t="str">
            <v>21601</v>
          </cell>
          <cell r="B49" t="str">
            <v xml:space="preserve">  Material de limpieza</v>
          </cell>
          <cell r="C49" t="str">
            <v>01</v>
          </cell>
          <cell r="F49">
            <v>61958.25</v>
          </cell>
          <cell r="V49">
            <v>33738.370000000003</v>
          </cell>
        </row>
        <row r="50">
          <cell r="A50" t="str">
            <v>21800</v>
          </cell>
          <cell r="B50" t="str">
            <v xml:space="preserve">  Materiales para el registro e identificación de bienes y personas</v>
          </cell>
          <cell r="C50" t="str">
            <v>01</v>
          </cell>
          <cell r="F50">
            <v>135350.07</v>
          </cell>
          <cell r="V50">
            <v>82937.25</v>
          </cell>
        </row>
        <row r="51">
          <cell r="A51" t="str">
            <v>21802</v>
          </cell>
          <cell r="B51" t="str">
            <v xml:space="preserve">  Impresiones Oficiales, Formatos y Formas Valoradas</v>
          </cell>
          <cell r="C51" t="str">
            <v>01</v>
          </cell>
          <cell r="F51">
            <v>135350.07</v>
          </cell>
          <cell r="V51">
            <v>82937.25</v>
          </cell>
        </row>
        <row r="52">
          <cell r="A52" t="str">
            <v>22000</v>
          </cell>
          <cell r="B52" t="str">
            <v>ALIMENTOS Y UTENSILIOS</v>
          </cell>
          <cell r="C52" t="str">
            <v>01</v>
          </cell>
          <cell r="F52">
            <v>35173.11</v>
          </cell>
          <cell r="V52">
            <v>34933.769999999997</v>
          </cell>
        </row>
        <row r="53">
          <cell r="A53" t="str">
            <v>22100</v>
          </cell>
          <cell r="B53" t="str">
            <v xml:space="preserve">  Productos alimenticios para personas</v>
          </cell>
          <cell r="C53" t="str">
            <v>01</v>
          </cell>
          <cell r="F53">
            <v>35173.11</v>
          </cell>
          <cell r="V53">
            <v>34933.769999999997</v>
          </cell>
        </row>
        <row r="54">
          <cell r="A54" t="str">
            <v>22101</v>
          </cell>
          <cell r="B54" t="str">
            <v xml:space="preserve">  Productos alimenticios para personas</v>
          </cell>
          <cell r="C54" t="str">
            <v>01</v>
          </cell>
          <cell r="F54">
            <v>35173.11</v>
          </cell>
          <cell r="V54">
            <v>34933.769999999997</v>
          </cell>
        </row>
        <row r="55">
          <cell r="A55" t="str">
            <v>25000</v>
          </cell>
          <cell r="B55" t="str">
            <v>PRODUCTOS QUÍMICOS, FARMACÉUTICOS Y DE LABORATORIO</v>
          </cell>
          <cell r="C55" t="str">
            <v>01</v>
          </cell>
          <cell r="F55">
            <v>3909.85</v>
          </cell>
          <cell r="V55">
            <v>3365.48</v>
          </cell>
        </row>
        <row r="56">
          <cell r="A56" t="str">
            <v>25300</v>
          </cell>
          <cell r="B56" t="str">
            <v xml:space="preserve">  Medicinas y productos farmacéuticos</v>
          </cell>
          <cell r="C56" t="str">
            <v>01</v>
          </cell>
          <cell r="F56">
            <v>3909.85</v>
          </cell>
          <cell r="V56">
            <v>3365.48</v>
          </cell>
        </row>
        <row r="57">
          <cell r="A57" t="str">
            <v>25301</v>
          </cell>
          <cell r="B57" t="str">
            <v xml:space="preserve">  Medicinas y productos farmacéuticos</v>
          </cell>
          <cell r="C57" t="str">
            <v>01</v>
          </cell>
          <cell r="F57">
            <v>3909.85</v>
          </cell>
          <cell r="V57">
            <v>3365.48</v>
          </cell>
        </row>
        <row r="58">
          <cell r="A58" t="str">
            <v>26000</v>
          </cell>
          <cell r="B58" t="str">
            <v>COMBUSTIBLES, LUBRICANTES Y ADITIVOS</v>
          </cell>
          <cell r="C58" t="str">
            <v>01</v>
          </cell>
          <cell r="F58">
            <v>272026.5</v>
          </cell>
          <cell r="V58">
            <v>160318.82999999999</v>
          </cell>
        </row>
        <row r="59">
          <cell r="A59" t="str">
            <v>26100</v>
          </cell>
          <cell r="B59" t="str">
            <v xml:space="preserve">  Combustibles, lubricantes y aditivos</v>
          </cell>
          <cell r="C59" t="str">
            <v>01</v>
          </cell>
          <cell r="F59">
            <v>272026.5</v>
          </cell>
          <cell r="V59">
            <v>160318.82999999999</v>
          </cell>
        </row>
        <row r="60">
          <cell r="A60" t="str">
            <v>26101</v>
          </cell>
          <cell r="B60" t="str">
            <v xml:space="preserve">  Combustible de Equipo de Transporte</v>
          </cell>
          <cell r="C60" t="str">
            <v>01</v>
          </cell>
          <cell r="F60">
            <v>240346.5</v>
          </cell>
          <cell r="V60">
            <v>153498.82999999999</v>
          </cell>
        </row>
        <row r="61">
          <cell r="A61" t="str">
            <v>26102</v>
          </cell>
          <cell r="B61" t="str">
            <v xml:space="preserve">  Lubricantes y Aditivos Equipo de Transporte</v>
          </cell>
          <cell r="C61" t="str">
            <v>01</v>
          </cell>
          <cell r="F61">
            <v>31680</v>
          </cell>
          <cell r="V61">
            <v>6820</v>
          </cell>
        </row>
        <row r="62">
          <cell r="A62" t="str">
            <v>27000</v>
          </cell>
          <cell r="B62" t="str">
            <v>VESTUARIO, BLANCOS, PRENDAS DE PROTECCIÓN Y ARTÍCULOS DEPORTIVOS</v>
          </cell>
          <cell r="C62" t="str">
            <v>01</v>
          </cell>
          <cell r="F62">
            <v>380642.34</v>
          </cell>
          <cell r="V62">
            <v>275393.26</v>
          </cell>
        </row>
        <row r="63">
          <cell r="A63" t="str">
            <v>27100</v>
          </cell>
          <cell r="B63" t="str">
            <v xml:space="preserve">  Vestuario y uniformes</v>
          </cell>
          <cell r="C63" t="str">
            <v>01</v>
          </cell>
          <cell r="F63">
            <v>351514.14</v>
          </cell>
          <cell r="V63">
            <v>270050.03000000003</v>
          </cell>
        </row>
        <row r="64">
          <cell r="A64" t="str">
            <v>27101</v>
          </cell>
          <cell r="B64" t="str">
            <v xml:space="preserve">  Vestuario y uniformes</v>
          </cell>
          <cell r="C64" t="str">
            <v>01</v>
          </cell>
          <cell r="F64">
            <v>351514.14</v>
          </cell>
          <cell r="V64">
            <v>270050.03000000003</v>
          </cell>
        </row>
        <row r="65">
          <cell r="A65" t="str">
            <v>27200</v>
          </cell>
          <cell r="B65" t="str">
            <v xml:space="preserve">  Prendas de seguridad y protección personal</v>
          </cell>
          <cell r="C65" t="str">
            <v>01</v>
          </cell>
          <cell r="F65">
            <v>27128.2</v>
          </cell>
          <cell r="V65">
            <v>3624.98</v>
          </cell>
        </row>
        <row r="66">
          <cell r="A66" t="str">
            <v>27201</v>
          </cell>
          <cell r="B66" t="str">
            <v xml:space="preserve">  Prendas de seguridad y protección personal</v>
          </cell>
          <cell r="C66" t="str">
            <v>01</v>
          </cell>
          <cell r="F66">
            <v>27128.2</v>
          </cell>
          <cell r="V66">
            <v>3624.98</v>
          </cell>
        </row>
        <row r="67">
          <cell r="A67" t="str">
            <v>27300</v>
          </cell>
          <cell r="B67" t="str">
            <v xml:space="preserve">  Artículos deportivos</v>
          </cell>
          <cell r="C67" t="str">
            <v>01</v>
          </cell>
          <cell r="F67">
            <v>2000</v>
          </cell>
          <cell r="V67">
            <v>1718.25</v>
          </cell>
        </row>
        <row r="68">
          <cell r="A68" t="str">
            <v>27301</v>
          </cell>
          <cell r="B68" t="str">
            <v xml:space="preserve">  Artículos deportivos</v>
          </cell>
          <cell r="C68" t="str">
            <v>01</v>
          </cell>
          <cell r="F68">
            <v>2000</v>
          </cell>
          <cell r="V68">
            <v>1718.25</v>
          </cell>
        </row>
        <row r="69">
          <cell r="A69" t="str">
            <v>29000</v>
          </cell>
          <cell r="B69" t="str">
            <v>HERRAMIENTAS, REFACCIONES Y ACCESORIOS MENORES</v>
          </cell>
          <cell r="C69" t="str">
            <v>01</v>
          </cell>
          <cell r="F69">
            <v>55367.23</v>
          </cell>
          <cell r="V69">
            <v>29810.45</v>
          </cell>
        </row>
        <row r="70">
          <cell r="A70" t="str">
            <v>29200</v>
          </cell>
          <cell r="B70" t="str">
            <v xml:space="preserve">  Refacciones y accesorios menores de edificios</v>
          </cell>
          <cell r="C70" t="str">
            <v>01</v>
          </cell>
          <cell r="F70">
            <v>18000</v>
          </cell>
          <cell r="V70">
            <v>11329.7</v>
          </cell>
        </row>
        <row r="71">
          <cell r="A71" t="str">
            <v>29201</v>
          </cell>
          <cell r="B71" t="str">
            <v xml:space="preserve">  Refacciones y accesorios menores de edificios</v>
          </cell>
          <cell r="C71" t="str">
            <v>01</v>
          </cell>
          <cell r="F71">
            <v>18000</v>
          </cell>
          <cell r="V71">
            <v>11329.7</v>
          </cell>
        </row>
        <row r="72">
          <cell r="A72" t="str">
            <v>29400</v>
          </cell>
          <cell r="B72" t="str">
            <v xml:space="preserve">  Refacciones y accesorios menores de equipo de cómputo y tecnologías de la información</v>
          </cell>
          <cell r="C72" t="str">
            <v>01</v>
          </cell>
          <cell r="F72">
            <v>374.39</v>
          </cell>
          <cell r="V72">
            <v>125</v>
          </cell>
        </row>
        <row r="73">
          <cell r="A73" t="str">
            <v>29401</v>
          </cell>
          <cell r="B73" t="str">
            <v xml:space="preserve">  Refacciones y accesorios menores de equipo de cómputo y tecnologías de la información</v>
          </cell>
          <cell r="C73" t="str">
            <v>01</v>
          </cell>
          <cell r="F73">
            <v>374.39</v>
          </cell>
          <cell r="V73">
            <v>125</v>
          </cell>
        </row>
        <row r="74">
          <cell r="A74" t="str">
            <v>29600</v>
          </cell>
          <cell r="B74" t="str">
            <v xml:space="preserve">  Refacciones y accesorios menores de equipo de transporte</v>
          </cell>
          <cell r="C74" t="str">
            <v>01</v>
          </cell>
          <cell r="F74">
            <v>9992.84</v>
          </cell>
          <cell r="V74">
            <v>9435</v>
          </cell>
        </row>
        <row r="75">
          <cell r="A75" t="str">
            <v>29601</v>
          </cell>
          <cell r="B75" t="str">
            <v xml:space="preserve">  Refacciones y accesorios menores de equipo de transporte</v>
          </cell>
          <cell r="C75" t="str">
            <v>01</v>
          </cell>
          <cell r="F75">
            <v>9992.84</v>
          </cell>
          <cell r="V75">
            <v>9435</v>
          </cell>
        </row>
        <row r="76">
          <cell r="A76" t="str">
            <v>29800</v>
          </cell>
          <cell r="B76" t="str">
            <v xml:space="preserve">  Refacciones y accesorios menores de maquinaria y otros equipos</v>
          </cell>
          <cell r="C76" t="str">
            <v>01</v>
          </cell>
          <cell r="F76">
            <v>27000</v>
          </cell>
          <cell r="V76">
            <v>8920.75</v>
          </cell>
        </row>
        <row r="77">
          <cell r="A77" t="str">
            <v>29801</v>
          </cell>
          <cell r="B77" t="str">
            <v xml:space="preserve">  Refacciones y accesorios menores de maquinaria y otros equipos</v>
          </cell>
          <cell r="C77" t="str">
            <v>01</v>
          </cell>
          <cell r="F77">
            <v>27000</v>
          </cell>
          <cell r="V77">
            <v>8920.75</v>
          </cell>
        </row>
        <row r="78">
          <cell r="A78" t="str">
            <v>30000</v>
          </cell>
          <cell r="B78" t="str">
            <v>SERVICIOS GENERALES</v>
          </cell>
          <cell r="C78" t="str">
            <v>01</v>
          </cell>
          <cell r="F78">
            <v>2780193.62</v>
          </cell>
          <cell r="V78">
            <v>1357735.55</v>
          </cell>
        </row>
        <row r="79">
          <cell r="A79" t="str">
            <v>31000</v>
          </cell>
          <cell r="B79" t="str">
            <v>SERVICIOS BÁSICOS</v>
          </cell>
          <cell r="C79" t="str">
            <v>01</v>
          </cell>
          <cell r="F79">
            <v>403445.62</v>
          </cell>
          <cell r="V79">
            <v>180745.69</v>
          </cell>
        </row>
        <row r="80">
          <cell r="A80" t="str">
            <v>31100</v>
          </cell>
          <cell r="B80" t="str">
            <v xml:space="preserve">  Energía eléctrica</v>
          </cell>
          <cell r="C80" t="str">
            <v>01</v>
          </cell>
          <cell r="F80">
            <v>109354.82</v>
          </cell>
          <cell r="V80">
            <v>107912.27</v>
          </cell>
        </row>
        <row r="81">
          <cell r="A81" t="str">
            <v>31101</v>
          </cell>
          <cell r="B81" t="str">
            <v xml:space="preserve">  Energía eléctrica</v>
          </cell>
          <cell r="C81" t="str">
            <v>01</v>
          </cell>
          <cell r="F81">
            <v>109354.82</v>
          </cell>
          <cell r="V81">
            <v>107912.27</v>
          </cell>
        </row>
        <row r="82">
          <cell r="A82" t="str">
            <v>31200</v>
          </cell>
          <cell r="B82" t="str">
            <v xml:space="preserve">  Gas</v>
          </cell>
          <cell r="C82" t="str">
            <v>01</v>
          </cell>
          <cell r="F82">
            <v>13815.06</v>
          </cell>
          <cell r="V82">
            <v>13807.82</v>
          </cell>
        </row>
        <row r="83">
          <cell r="A83" t="str">
            <v>31201</v>
          </cell>
          <cell r="B83" t="str">
            <v xml:space="preserve">  Gas</v>
          </cell>
          <cell r="C83" t="str">
            <v>01</v>
          </cell>
          <cell r="F83">
            <v>13815.06</v>
          </cell>
          <cell r="V83">
            <v>13807.82</v>
          </cell>
        </row>
        <row r="84">
          <cell r="A84" t="str">
            <v>31300</v>
          </cell>
          <cell r="B84" t="str">
            <v xml:space="preserve">  Agua</v>
          </cell>
          <cell r="C84" t="str">
            <v>01</v>
          </cell>
          <cell r="F84">
            <v>18685.16</v>
          </cell>
          <cell r="V84">
            <v>4427.3</v>
          </cell>
        </row>
        <row r="85">
          <cell r="A85" t="str">
            <v>31301</v>
          </cell>
          <cell r="B85" t="str">
            <v xml:space="preserve">  Agua</v>
          </cell>
          <cell r="C85" t="str">
            <v>01</v>
          </cell>
          <cell r="F85">
            <v>18685.16</v>
          </cell>
          <cell r="V85">
            <v>4427.3</v>
          </cell>
        </row>
        <row r="86">
          <cell r="A86" t="str">
            <v>31400</v>
          </cell>
          <cell r="B86" t="str">
            <v xml:space="preserve">  Telefonía tradicional</v>
          </cell>
          <cell r="C86" t="str">
            <v>01</v>
          </cell>
          <cell r="F86">
            <v>60497.34</v>
          </cell>
          <cell r="V86">
            <v>41148.42</v>
          </cell>
        </row>
        <row r="87">
          <cell r="A87" t="str">
            <v>31401</v>
          </cell>
          <cell r="B87" t="str">
            <v xml:space="preserve">  Telefonía tradicional</v>
          </cell>
          <cell r="C87" t="str">
            <v>01</v>
          </cell>
          <cell r="F87">
            <v>60497.34</v>
          </cell>
          <cell r="V87">
            <v>41148.42</v>
          </cell>
        </row>
        <row r="88">
          <cell r="A88" t="str">
            <v>31500</v>
          </cell>
          <cell r="B88" t="str">
            <v xml:space="preserve">  Telefonía celular</v>
          </cell>
          <cell r="C88" t="str">
            <v>01</v>
          </cell>
          <cell r="F88">
            <v>6066.22</v>
          </cell>
          <cell r="V88">
            <v>5819.46</v>
          </cell>
        </row>
        <row r="89">
          <cell r="A89" t="str">
            <v>31501</v>
          </cell>
          <cell r="B89" t="str">
            <v xml:space="preserve">  Telefonía celular</v>
          </cell>
          <cell r="C89" t="str">
            <v>01</v>
          </cell>
          <cell r="F89">
            <v>6066.22</v>
          </cell>
          <cell r="V89">
            <v>5819.46</v>
          </cell>
        </row>
        <row r="90">
          <cell r="A90" t="str">
            <v>31600</v>
          </cell>
          <cell r="B90" t="str">
            <v xml:space="preserve">  Servicios de telecomunicaciones y satélites</v>
          </cell>
          <cell r="C90" t="str">
            <v>01</v>
          </cell>
          <cell r="F90">
            <v>174000</v>
          </cell>
          <cell r="V90">
            <v>0</v>
          </cell>
        </row>
        <row r="91">
          <cell r="A91" t="str">
            <v>31601</v>
          </cell>
          <cell r="B91" t="str">
            <v xml:space="preserve">  Servicios de telecomunicaciones y satélites</v>
          </cell>
          <cell r="C91" t="str">
            <v>01</v>
          </cell>
          <cell r="F91">
            <v>174000</v>
          </cell>
          <cell r="V91">
            <v>0</v>
          </cell>
        </row>
        <row r="92">
          <cell r="A92" t="str">
            <v>31700</v>
          </cell>
          <cell r="B92" t="str">
            <v xml:space="preserve">  Servicios de acceso de Internet, redes y procesamiento de información</v>
          </cell>
          <cell r="C92" t="str">
            <v>01</v>
          </cell>
          <cell r="F92">
            <v>11236</v>
          </cell>
          <cell r="V92">
            <v>847</v>
          </cell>
        </row>
        <row r="93">
          <cell r="A93" t="str">
            <v>31701</v>
          </cell>
          <cell r="B93" t="str">
            <v xml:space="preserve">  Servicios de acceso de Internet, redes y procesamiento de información</v>
          </cell>
          <cell r="C93" t="str">
            <v>01</v>
          </cell>
          <cell r="F93">
            <v>11236</v>
          </cell>
          <cell r="V93">
            <v>847</v>
          </cell>
        </row>
        <row r="94">
          <cell r="A94" t="str">
            <v>31800</v>
          </cell>
          <cell r="B94" t="str">
            <v xml:space="preserve">  Servicios postales y telegráficos</v>
          </cell>
          <cell r="C94" t="str">
            <v>01</v>
          </cell>
          <cell r="F94">
            <v>9791.02</v>
          </cell>
          <cell r="V94">
            <v>6783.42</v>
          </cell>
        </row>
        <row r="95">
          <cell r="A95" t="str">
            <v>31801</v>
          </cell>
          <cell r="B95" t="str">
            <v xml:space="preserve">  Servicios postales y telegráficos</v>
          </cell>
          <cell r="C95" t="str">
            <v>01</v>
          </cell>
          <cell r="F95">
            <v>9791.02</v>
          </cell>
          <cell r="V95">
            <v>6783.42</v>
          </cell>
        </row>
        <row r="96">
          <cell r="A96" t="str">
            <v>32000</v>
          </cell>
          <cell r="B96" t="str">
            <v>SERVICIOS DE ARRENDAMIENTO</v>
          </cell>
          <cell r="C96" t="str">
            <v>01</v>
          </cell>
          <cell r="F96">
            <v>112754.22</v>
          </cell>
          <cell r="V96">
            <v>12911.23</v>
          </cell>
        </row>
        <row r="97">
          <cell r="A97" t="str">
            <v>32300</v>
          </cell>
          <cell r="B97" t="str">
            <v xml:space="preserve">  Arrendamiento de mobiliario y equipo de administración, educacional y recreativo</v>
          </cell>
          <cell r="C97" t="str">
            <v>01</v>
          </cell>
          <cell r="F97">
            <v>50457.04</v>
          </cell>
          <cell r="V97">
            <v>9020</v>
          </cell>
        </row>
        <row r="98">
          <cell r="A98" t="str">
            <v>32301</v>
          </cell>
          <cell r="B98" t="str">
            <v xml:space="preserve">  Arrendamiento de mobiliario y equipo de administración, educacional y recreativo</v>
          </cell>
          <cell r="C98" t="str">
            <v>01</v>
          </cell>
          <cell r="F98">
            <v>50457.04</v>
          </cell>
          <cell r="V98">
            <v>9020</v>
          </cell>
        </row>
        <row r="99">
          <cell r="A99" t="str">
            <v>32700</v>
          </cell>
          <cell r="B99" t="str">
            <v xml:space="preserve">  Arrendamiento de activos intangibles</v>
          </cell>
          <cell r="C99" t="str">
            <v>01</v>
          </cell>
          <cell r="F99">
            <v>62297.18</v>
          </cell>
          <cell r="V99">
            <v>3891.23</v>
          </cell>
        </row>
        <row r="100">
          <cell r="A100" t="str">
            <v>32701</v>
          </cell>
          <cell r="B100" t="str">
            <v xml:space="preserve">  Arrendamiento de activos intangibles</v>
          </cell>
          <cell r="C100" t="str">
            <v>01</v>
          </cell>
          <cell r="F100">
            <v>62297.18</v>
          </cell>
          <cell r="V100">
            <v>3891.23</v>
          </cell>
        </row>
        <row r="101">
          <cell r="A101" t="str">
            <v>33000</v>
          </cell>
          <cell r="B101" t="str">
            <v>SERVICIOS PROFESIONALES, CIENTÍFICOS, TÉCNICOS Y OTROS SERVICIOS</v>
          </cell>
          <cell r="C101" t="str">
            <v>01</v>
          </cell>
          <cell r="F101">
            <v>598970</v>
          </cell>
          <cell r="V101">
            <v>296904.71000000002</v>
          </cell>
        </row>
        <row r="102">
          <cell r="A102" t="str">
            <v>33100</v>
          </cell>
          <cell r="B102" t="str">
            <v xml:space="preserve">  Servicios legales, de contabilidad, auditoría y relacionados</v>
          </cell>
          <cell r="C102" t="str">
            <v>01</v>
          </cell>
          <cell r="F102">
            <v>411032.99</v>
          </cell>
          <cell r="V102">
            <v>270794.90000000002</v>
          </cell>
        </row>
        <row r="103">
          <cell r="A103" t="str">
            <v>33101</v>
          </cell>
          <cell r="B103" t="str">
            <v xml:space="preserve">  Servicios legales, de contabilidad, auditoría y relacionados</v>
          </cell>
          <cell r="C103" t="str">
            <v>01</v>
          </cell>
          <cell r="F103">
            <v>411032.99</v>
          </cell>
          <cell r="V103">
            <v>270794.90000000002</v>
          </cell>
        </row>
        <row r="104">
          <cell r="A104" t="str">
            <v>33600</v>
          </cell>
          <cell r="B104" t="str">
            <v xml:space="preserve">  Servicios de apoyo administrativo, traducción, fotocopiado e impresión</v>
          </cell>
          <cell r="C104" t="str">
            <v>01</v>
          </cell>
          <cell r="F104">
            <v>6649</v>
          </cell>
          <cell r="V104">
            <v>6649</v>
          </cell>
        </row>
        <row r="105">
          <cell r="A105" t="str">
            <v>33601</v>
          </cell>
          <cell r="B105" t="str">
            <v xml:space="preserve">  Servicios de apoyo administrativo, fotocopiado e impresión</v>
          </cell>
          <cell r="C105" t="str">
            <v>01</v>
          </cell>
          <cell r="F105">
            <v>6649</v>
          </cell>
          <cell r="V105">
            <v>6649</v>
          </cell>
        </row>
        <row r="106">
          <cell r="A106" t="str">
            <v>33800</v>
          </cell>
          <cell r="B106" t="str">
            <v xml:space="preserve">  Servicios de vigilancia</v>
          </cell>
          <cell r="C106" t="str">
            <v>01</v>
          </cell>
          <cell r="F106">
            <v>31288.01</v>
          </cell>
          <cell r="V106">
            <v>19200</v>
          </cell>
        </row>
        <row r="107">
          <cell r="A107" t="str">
            <v>33801</v>
          </cell>
          <cell r="B107" t="str">
            <v xml:space="preserve">  Servicios de vigilancia</v>
          </cell>
          <cell r="C107" t="str">
            <v>01</v>
          </cell>
          <cell r="F107">
            <v>31288.01</v>
          </cell>
          <cell r="V107">
            <v>19200</v>
          </cell>
        </row>
        <row r="108">
          <cell r="A108" t="str">
            <v>33900</v>
          </cell>
          <cell r="B108" t="str">
            <v xml:space="preserve">  Servicios profesionales, científicos y técnicos integrales</v>
          </cell>
          <cell r="C108" t="str">
            <v>01</v>
          </cell>
          <cell r="F108">
            <v>150000</v>
          </cell>
          <cell r="V108">
            <v>260.81</v>
          </cell>
        </row>
        <row r="109">
          <cell r="A109" t="str">
            <v>33901</v>
          </cell>
          <cell r="B109" t="str">
            <v xml:space="preserve">  Servicios profesionales, científicos y técnicos integrales</v>
          </cell>
          <cell r="C109" t="str">
            <v>01</v>
          </cell>
          <cell r="F109">
            <v>150000</v>
          </cell>
          <cell r="V109">
            <v>260.81</v>
          </cell>
        </row>
        <row r="110">
          <cell r="A110" t="str">
            <v>34000</v>
          </cell>
          <cell r="B110" t="str">
            <v>SERVICIOS FINANCIEROS, BANCARIOS Y COMERCIALES</v>
          </cell>
          <cell r="C110" t="str">
            <v>01</v>
          </cell>
          <cell r="F110">
            <v>950544.17</v>
          </cell>
          <cell r="V110">
            <v>530504.82999999996</v>
          </cell>
        </row>
        <row r="111">
          <cell r="A111" t="str">
            <v>34100</v>
          </cell>
          <cell r="B111" t="str">
            <v xml:space="preserve">  Servicios financieros y bancarios</v>
          </cell>
          <cell r="C111" t="str">
            <v>01</v>
          </cell>
          <cell r="F111">
            <v>441803.51</v>
          </cell>
          <cell r="V111">
            <v>190561.03</v>
          </cell>
        </row>
        <row r="112">
          <cell r="A112" t="str">
            <v>34101</v>
          </cell>
          <cell r="B112" t="str">
            <v xml:space="preserve">  Servicios financieros y bancarios</v>
          </cell>
          <cell r="C112" t="str">
            <v>01</v>
          </cell>
          <cell r="F112">
            <v>441803.51</v>
          </cell>
          <cell r="V112">
            <v>190561.03</v>
          </cell>
        </row>
        <row r="113">
          <cell r="A113" t="str">
            <v>34300</v>
          </cell>
          <cell r="B113" t="str">
            <v xml:space="preserve">  Servicios de recaudación, traslado y custodia de valores</v>
          </cell>
          <cell r="C113" t="str">
            <v>01</v>
          </cell>
          <cell r="F113">
            <v>365239.25</v>
          </cell>
          <cell r="V113">
            <v>252298.97</v>
          </cell>
        </row>
        <row r="114">
          <cell r="A114" t="str">
            <v>34301</v>
          </cell>
          <cell r="B114" t="str">
            <v xml:space="preserve">  Servicios de recaudación, traslado y custodia de valores</v>
          </cell>
          <cell r="C114" t="str">
            <v>01</v>
          </cell>
          <cell r="F114">
            <v>365239.25</v>
          </cell>
          <cell r="V114">
            <v>252298.97</v>
          </cell>
        </row>
        <row r="115">
          <cell r="A115" t="str">
            <v>34500</v>
          </cell>
          <cell r="B115" t="str">
            <v xml:space="preserve">  Seguro de bienes patrimoniales</v>
          </cell>
          <cell r="C115" t="str">
            <v>01</v>
          </cell>
          <cell r="F115">
            <v>143501.41</v>
          </cell>
          <cell r="V115">
            <v>87644.83</v>
          </cell>
        </row>
        <row r="116">
          <cell r="A116" t="str">
            <v>34501</v>
          </cell>
          <cell r="B116" t="str">
            <v xml:space="preserve">  Seguro de bienes patrimoniales</v>
          </cell>
          <cell r="C116" t="str">
            <v>01</v>
          </cell>
          <cell r="F116">
            <v>143501.41</v>
          </cell>
          <cell r="V116">
            <v>87644.83</v>
          </cell>
        </row>
        <row r="117">
          <cell r="A117" t="str">
            <v>35000</v>
          </cell>
          <cell r="B117" t="str">
            <v>SERVICIOS DE INSTALACIÓN, REPARACIÓN, MANTENIMIENTO Y CONSERVACIÓN</v>
          </cell>
          <cell r="C117" t="str">
            <v>01</v>
          </cell>
          <cell r="F117">
            <v>90241.38</v>
          </cell>
          <cell r="V117">
            <v>62806.17</v>
          </cell>
        </row>
        <row r="118">
          <cell r="A118" t="str">
            <v>35100</v>
          </cell>
          <cell r="B118" t="str">
            <v xml:space="preserve">  Conservación y mantenimiento menor de inmuebles</v>
          </cell>
          <cell r="C118" t="str">
            <v>01</v>
          </cell>
          <cell r="F118">
            <v>3600</v>
          </cell>
          <cell r="V118">
            <v>0</v>
          </cell>
        </row>
        <row r="119">
          <cell r="A119" t="str">
            <v>35101</v>
          </cell>
          <cell r="B119" t="str">
            <v xml:space="preserve">  Conservación y mantenimiento menor de inmuebles</v>
          </cell>
          <cell r="C119" t="str">
            <v>01</v>
          </cell>
          <cell r="F119">
            <v>3600</v>
          </cell>
          <cell r="V119">
            <v>0</v>
          </cell>
        </row>
        <row r="120">
          <cell r="A120" t="str">
            <v>35200</v>
          </cell>
          <cell r="B120" t="str">
            <v xml:space="preserve">  Instalación, reparación y mantenimiento de mobiliario y equipo de administración, educacional y recreativo</v>
          </cell>
          <cell r="C120" t="str">
            <v>01</v>
          </cell>
          <cell r="F120">
            <v>18436.25</v>
          </cell>
          <cell r="V120">
            <v>0</v>
          </cell>
        </row>
        <row r="121">
          <cell r="A121" t="str">
            <v>35201</v>
          </cell>
          <cell r="B121" t="str">
            <v xml:space="preserve">  Instalación, reparación y mantenimiento de mobiliario y equipo de administración, educacional y recreativo</v>
          </cell>
          <cell r="C121" t="str">
            <v>01</v>
          </cell>
          <cell r="F121">
            <v>18436.25</v>
          </cell>
          <cell r="V121">
            <v>0</v>
          </cell>
        </row>
        <row r="122">
          <cell r="A122" t="str">
            <v>35500</v>
          </cell>
          <cell r="B122" t="str">
            <v xml:space="preserve">  Reparación y mantenimiento de equipo de transporte</v>
          </cell>
          <cell r="C122" t="str">
            <v>01</v>
          </cell>
          <cell r="F122">
            <v>16349.64</v>
          </cell>
          <cell r="V122">
            <v>10950.68</v>
          </cell>
        </row>
        <row r="123">
          <cell r="A123" t="str">
            <v>35501</v>
          </cell>
          <cell r="B123" t="str">
            <v xml:space="preserve">  Reparación y mantenimiento de equipo de transporte</v>
          </cell>
          <cell r="C123" t="str">
            <v>01</v>
          </cell>
          <cell r="F123">
            <v>16349.64</v>
          </cell>
          <cell r="V123">
            <v>10950.68</v>
          </cell>
        </row>
        <row r="124">
          <cell r="A124" t="str">
            <v>35700</v>
          </cell>
          <cell r="B124" t="str">
            <v xml:space="preserve">  Instalación, reparación y mantenimiento de maquinaria, otros equipos y herramienta</v>
          </cell>
          <cell r="C124" t="str">
            <v>01</v>
          </cell>
          <cell r="F124">
            <v>51855.49</v>
          </cell>
          <cell r="V124">
            <v>51855.49</v>
          </cell>
        </row>
        <row r="125">
          <cell r="A125" t="str">
            <v>35701</v>
          </cell>
          <cell r="B125" t="str">
            <v xml:space="preserve">  Instalación, reparación y mantenimiento de maquinaria, otros equipos y herramienta</v>
          </cell>
          <cell r="C125" t="str">
            <v>01</v>
          </cell>
          <cell r="F125">
            <v>51855.49</v>
          </cell>
          <cell r="V125">
            <v>51855.49</v>
          </cell>
        </row>
        <row r="126">
          <cell r="A126" t="str">
            <v>36000</v>
          </cell>
          <cell r="B126" t="str">
            <v>SERVICIOS DE COMUNICACIÓN SOCIAL Y PUBLICIDAD</v>
          </cell>
          <cell r="C126" t="str">
            <v>01</v>
          </cell>
          <cell r="F126">
            <v>51009.91</v>
          </cell>
          <cell r="V126">
            <v>49419.99</v>
          </cell>
        </row>
        <row r="127">
          <cell r="A127" t="str">
            <v>36100</v>
          </cell>
          <cell r="B127" t="str">
            <v xml:space="preserve">  Difusión por radio, televisión y otros medios de mensajes sobre programas y actividades gubernamentales</v>
          </cell>
          <cell r="C127" t="str">
            <v>01</v>
          </cell>
          <cell r="F127">
            <v>51009.91</v>
          </cell>
          <cell r="V127">
            <v>49419.99</v>
          </cell>
        </row>
        <row r="128">
          <cell r="A128" t="str">
            <v>36109</v>
          </cell>
          <cell r="B128" t="str">
            <v xml:space="preserve">  Otros Servicios para Difusion</v>
          </cell>
          <cell r="C128" t="str">
            <v>01</v>
          </cell>
          <cell r="F128">
            <v>51009.91</v>
          </cell>
          <cell r="V128">
            <v>49419.99</v>
          </cell>
        </row>
        <row r="129">
          <cell r="A129" t="str">
            <v>37000</v>
          </cell>
          <cell r="B129" t="str">
            <v>SERVICIOS DE TRASLADOS Y VIÁTICOS</v>
          </cell>
          <cell r="C129" t="str">
            <v>01</v>
          </cell>
          <cell r="F129">
            <v>269620.28000000003</v>
          </cell>
          <cell r="V129">
            <v>152607.73000000001</v>
          </cell>
        </row>
        <row r="130">
          <cell r="A130" t="str">
            <v>37500</v>
          </cell>
          <cell r="B130" t="str">
            <v xml:space="preserve">  Viáticos en el país</v>
          </cell>
          <cell r="C130" t="str">
            <v>01</v>
          </cell>
          <cell r="F130">
            <v>265641.37</v>
          </cell>
          <cell r="V130">
            <v>152607.73000000001</v>
          </cell>
        </row>
        <row r="131">
          <cell r="A131" t="str">
            <v>37501</v>
          </cell>
          <cell r="B131" t="str">
            <v xml:space="preserve">  Viáticos en el país</v>
          </cell>
          <cell r="C131" t="str">
            <v>01</v>
          </cell>
          <cell r="F131">
            <v>187035.67</v>
          </cell>
          <cell r="V131">
            <v>93898.44</v>
          </cell>
        </row>
        <row r="132">
          <cell r="A132" t="str">
            <v>37502</v>
          </cell>
          <cell r="B132" t="str">
            <v xml:space="preserve">  Viaticos Consulta Medica</v>
          </cell>
          <cell r="C132" t="str">
            <v>01</v>
          </cell>
          <cell r="F132">
            <v>78605.7</v>
          </cell>
          <cell r="V132">
            <v>58709.29</v>
          </cell>
        </row>
        <row r="133">
          <cell r="A133" t="str">
            <v>37900</v>
          </cell>
          <cell r="B133" t="str">
            <v xml:space="preserve">  Otros servicios de traslado y hospedaje</v>
          </cell>
          <cell r="C133" t="str">
            <v>01</v>
          </cell>
          <cell r="F133">
            <v>3978.91</v>
          </cell>
          <cell r="V133">
            <v>0</v>
          </cell>
        </row>
        <row r="134">
          <cell r="A134" t="str">
            <v>37901</v>
          </cell>
          <cell r="B134" t="str">
            <v xml:space="preserve">  Otros servicios de traslado y hospedaje</v>
          </cell>
          <cell r="C134" t="str">
            <v>01</v>
          </cell>
          <cell r="F134">
            <v>3978.91</v>
          </cell>
          <cell r="V134">
            <v>0</v>
          </cell>
        </row>
        <row r="135">
          <cell r="A135" t="str">
            <v>38000</v>
          </cell>
          <cell r="B135" t="str">
            <v>SERVICIOS OFICIALES</v>
          </cell>
          <cell r="C135" t="str">
            <v>01</v>
          </cell>
          <cell r="F135">
            <v>194106.82</v>
          </cell>
          <cell r="V135">
            <v>37333.980000000003</v>
          </cell>
        </row>
        <row r="136">
          <cell r="A136" t="str">
            <v>38100</v>
          </cell>
          <cell r="B136" t="str">
            <v xml:space="preserve">  Gastos de ceremonial</v>
          </cell>
          <cell r="C136" t="str">
            <v>01</v>
          </cell>
          <cell r="F136">
            <v>54000</v>
          </cell>
          <cell r="V136">
            <v>4851.93</v>
          </cell>
        </row>
        <row r="137">
          <cell r="A137" t="str">
            <v>38101</v>
          </cell>
          <cell r="B137" t="str">
            <v xml:space="preserve">  Gastos de ceremonial</v>
          </cell>
          <cell r="C137" t="str">
            <v>01</v>
          </cell>
          <cell r="F137">
            <v>54000</v>
          </cell>
          <cell r="V137">
            <v>4851.93</v>
          </cell>
        </row>
        <row r="138">
          <cell r="A138" t="str">
            <v>38200</v>
          </cell>
          <cell r="B138" t="str">
            <v xml:space="preserve">  Gastos de orden social y cultural</v>
          </cell>
          <cell r="C138" t="str">
            <v>01</v>
          </cell>
          <cell r="F138">
            <v>90000</v>
          </cell>
          <cell r="V138">
            <v>32482.05</v>
          </cell>
        </row>
        <row r="139">
          <cell r="A139" t="str">
            <v>38201</v>
          </cell>
          <cell r="B139" t="str">
            <v xml:space="preserve">  Gastos de orden social y cultural</v>
          </cell>
          <cell r="C139" t="str">
            <v>01</v>
          </cell>
          <cell r="F139">
            <v>90000</v>
          </cell>
          <cell r="V139">
            <v>32482.05</v>
          </cell>
        </row>
        <row r="140">
          <cell r="A140" t="str">
            <v>38300</v>
          </cell>
          <cell r="B140" t="str">
            <v xml:space="preserve">  Congresos y convenciones</v>
          </cell>
          <cell r="C140" t="str">
            <v>01</v>
          </cell>
          <cell r="F140">
            <v>50106.82</v>
          </cell>
          <cell r="V140">
            <v>0</v>
          </cell>
        </row>
        <row r="141">
          <cell r="A141" t="str">
            <v>38301</v>
          </cell>
          <cell r="B141" t="str">
            <v xml:space="preserve">  Congresos y convenciones</v>
          </cell>
          <cell r="C141" t="str">
            <v>01</v>
          </cell>
          <cell r="F141">
            <v>50106.82</v>
          </cell>
          <cell r="V141">
            <v>0</v>
          </cell>
        </row>
        <row r="142">
          <cell r="A142" t="str">
            <v>39000</v>
          </cell>
          <cell r="B142" t="str">
            <v>OTROS SERVICIOS GENERALES</v>
          </cell>
          <cell r="C142" t="str">
            <v>01</v>
          </cell>
          <cell r="F142">
            <v>109501.22</v>
          </cell>
          <cell r="V142">
            <v>34501.22</v>
          </cell>
        </row>
        <row r="143">
          <cell r="A143" t="str">
            <v>39500</v>
          </cell>
          <cell r="B143" t="str">
            <v xml:space="preserve">  Penas, multas, accesorios y actualizaciones</v>
          </cell>
          <cell r="C143" t="str">
            <v>01</v>
          </cell>
          <cell r="F143">
            <v>34501.22</v>
          </cell>
          <cell r="V143">
            <v>34501.22</v>
          </cell>
        </row>
        <row r="144">
          <cell r="A144" t="str">
            <v>39501</v>
          </cell>
          <cell r="B144" t="str">
            <v xml:space="preserve">  Penas, multas, accesorios y actualizaciones</v>
          </cell>
          <cell r="C144" t="str">
            <v>01</v>
          </cell>
          <cell r="F144">
            <v>34501.22</v>
          </cell>
          <cell r="V144">
            <v>34501.22</v>
          </cell>
        </row>
        <row r="145">
          <cell r="A145" t="str">
            <v>39900</v>
          </cell>
          <cell r="B145" t="str">
            <v xml:space="preserve">  Otros servicios generales</v>
          </cell>
          <cell r="C145" t="str">
            <v>01</v>
          </cell>
          <cell r="F145">
            <v>75000</v>
          </cell>
          <cell r="V145">
            <v>0</v>
          </cell>
        </row>
        <row r="146">
          <cell r="A146" t="str">
            <v>39901</v>
          </cell>
          <cell r="B146" t="str">
            <v xml:space="preserve">  Otros servicios generales</v>
          </cell>
          <cell r="C146" t="str">
            <v>01</v>
          </cell>
          <cell r="F146">
            <v>75000</v>
          </cell>
          <cell r="V146">
            <v>0</v>
          </cell>
        </row>
        <row r="147">
          <cell r="A147" t="str">
            <v>40000</v>
          </cell>
          <cell r="B147" t="str">
            <v>TRANSFERENCIAS, ASIGNACIONES, SUBSIDIOS Y OTRAS AYUDAS</v>
          </cell>
          <cell r="C147" t="str">
            <v>01</v>
          </cell>
          <cell r="F147">
            <v>9782097.6400000006</v>
          </cell>
          <cell r="V147">
            <v>5037768.29</v>
          </cell>
        </row>
        <row r="148">
          <cell r="A148" t="str">
            <v>41000</v>
          </cell>
          <cell r="B148" t="str">
            <v>TRANSFERENCIAS INTERNAS Y ASIGNACIONES AL SECTOR PÚBLICO</v>
          </cell>
          <cell r="C148" t="str">
            <v>01</v>
          </cell>
          <cell r="F148">
            <v>576492.32999999996</v>
          </cell>
          <cell r="V148">
            <v>386749.66</v>
          </cell>
        </row>
        <row r="149">
          <cell r="A149" t="str">
            <v>41500</v>
          </cell>
          <cell r="B149" t="str">
            <v xml:space="preserve">  Transferencias internas otorgadas a entidades paraestatales no empresariales y no financieras</v>
          </cell>
          <cell r="C149" t="str">
            <v>01</v>
          </cell>
          <cell r="F149">
            <v>576492.32999999996</v>
          </cell>
          <cell r="V149">
            <v>386749.66</v>
          </cell>
        </row>
        <row r="150">
          <cell r="A150" t="str">
            <v>41503</v>
          </cell>
          <cell r="B150" t="str">
            <v xml:space="preserve">  Diferencial de servicio medico pensiones</v>
          </cell>
          <cell r="C150" t="str">
            <v>01</v>
          </cell>
          <cell r="F150">
            <v>576492.32999999996</v>
          </cell>
          <cell r="V150">
            <v>386749.66</v>
          </cell>
        </row>
        <row r="151">
          <cell r="A151" t="str">
            <v>42000</v>
          </cell>
          <cell r="B151" t="str">
            <v>TRANSFERENCIAS AL RESTO DEL SECTOR PÚBLICO</v>
          </cell>
          <cell r="C151" t="str">
            <v>01</v>
          </cell>
          <cell r="F151">
            <v>3750706.14</v>
          </cell>
          <cell r="V151">
            <v>2173529.38</v>
          </cell>
        </row>
        <row r="152">
          <cell r="A152" t="str">
            <v>42100</v>
          </cell>
          <cell r="B152" t="str">
            <v xml:space="preserve">  Transferencias otorgadas a entidades paraestatales no empresariales y no financieras</v>
          </cell>
          <cell r="C152" t="str">
            <v>01</v>
          </cell>
          <cell r="F152">
            <v>3750706.14</v>
          </cell>
          <cell r="V152">
            <v>2173529.38</v>
          </cell>
        </row>
        <row r="153">
          <cell r="A153" t="str">
            <v>42101</v>
          </cell>
          <cell r="B153" t="str">
            <v xml:space="preserve">  5 % JUNTA CENTRAL DE AGUA Y SANEAMIENTO</v>
          </cell>
          <cell r="C153" t="str">
            <v>01</v>
          </cell>
          <cell r="F153">
            <v>3750706.14</v>
          </cell>
          <cell r="V153">
            <v>2173529.38</v>
          </cell>
        </row>
        <row r="154">
          <cell r="A154" t="str">
            <v>44000</v>
          </cell>
          <cell r="B154" t="str">
            <v>AYUDAS SOCIALES</v>
          </cell>
          <cell r="C154" t="str">
            <v>01</v>
          </cell>
          <cell r="F154">
            <v>8000</v>
          </cell>
          <cell r="V154">
            <v>0</v>
          </cell>
        </row>
        <row r="155">
          <cell r="A155" t="str">
            <v>44500</v>
          </cell>
          <cell r="B155" t="str">
            <v xml:space="preserve">  Ayudas sociales a  instituciones sin fines de lucro</v>
          </cell>
          <cell r="C155" t="str">
            <v>01</v>
          </cell>
          <cell r="F155">
            <v>8000</v>
          </cell>
          <cell r="V155">
            <v>0</v>
          </cell>
        </row>
        <row r="156">
          <cell r="A156" t="str">
            <v>44501</v>
          </cell>
          <cell r="B156" t="str">
            <v xml:space="preserve">  Ayudas sociales a instituciones sin fines de lucro</v>
          </cell>
          <cell r="C156" t="str">
            <v>01</v>
          </cell>
          <cell r="F156">
            <v>8000</v>
          </cell>
          <cell r="V156">
            <v>0</v>
          </cell>
        </row>
        <row r="157">
          <cell r="A157" t="str">
            <v>45000</v>
          </cell>
          <cell r="B157" t="str">
            <v>PENSIONES Y JUBILACIONES</v>
          </cell>
          <cell r="C157" t="str">
            <v>01</v>
          </cell>
          <cell r="F157">
            <v>5446899.1699999999</v>
          </cell>
          <cell r="V157">
            <v>2477489.25</v>
          </cell>
        </row>
        <row r="158">
          <cell r="A158" t="str">
            <v>45100</v>
          </cell>
          <cell r="B158" t="str">
            <v xml:space="preserve">  Pensiones</v>
          </cell>
          <cell r="C158" t="str">
            <v>01</v>
          </cell>
          <cell r="F158">
            <v>101743.41</v>
          </cell>
          <cell r="V158">
            <v>0</v>
          </cell>
        </row>
        <row r="159">
          <cell r="A159" t="str">
            <v>45101</v>
          </cell>
          <cell r="B159" t="str">
            <v xml:space="preserve">  Pensiones</v>
          </cell>
          <cell r="C159" t="str">
            <v>01</v>
          </cell>
          <cell r="F159">
            <v>101743.41</v>
          </cell>
          <cell r="V159">
            <v>0</v>
          </cell>
        </row>
        <row r="160">
          <cell r="A160" t="str">
            <v>45200</v>
          </cell>
          <cell r="B160" t="str">
            <v xml:space="preserve">  Jubilaciones</v>
          </cell>
          <cell r="C160" t="str">
            <v>01</v>
          </cell>
          <cell r="F160">
            <v>5345155.76</v>
          </cell>
          <cell r="V160">
            <v>2477489.25</v>
          </cell>
        </row>
        <row r="161">
          <cell r="A161" t="str">
            <v>45201</v>
          </cell>
          <cell r="B161" t="str">
            <v xml:space="preserve">  Jubilaciones</v>
          </cell>
          <cell r="C161" t="str">
            <v>01</v>
          </cell>
          <cell r="F161">
            <v>5345155.76</v>
          </cell>
          <cell r="V161">
            <v>2477489.25</v>
          </cell>
        </row>
        <row r="162">
          <cell r="A162" t="str">
            <v>50000</v>
          </cell>
          <cell r="B162" t="str">
            <v>BIENES MUEBLES, INMUEBLES E INTANGIBLES</v>
          </cell>
          <cell r="C162" t="str">
            <v>01</v>
          </cell>
          <cell r="F162">
            <v>672500</v>
          </cell>
          <cell r="V162">
            <v>505596.76</v>
          </cell>
        </row>
        <row r="163">
          <cell r="A163" t="str">
            <v>51000</v>
          </cell>
          <cell r="B163" t="str">
            <v>MOBILIARIO Y EQUIPO DE ADMINISTRACIÓN</v>
          </cell>
          <cell r="C163" t="str">
            <v>01</v>
          </cell>
          <cell r="F163">
            <v>595000</v>
          </cell>
          <cell r="V163">
            <v>468808.86</v>
          </cell>
        </row>
        <row r="164">
          <cell r="A164" t="str">
            <v>51100</v>
          </cell>
          <cell r="B164" t="str">
            <v xml:space="preserve">  Muebles de oficina y estantería</v>
          </cell>
          <cell r="C164" t="str">
            <v>01</v>
          </cell>
          <cell r="F164">
            <v>160000</v>
          </cell>
          <cell r="V164">
            <v>158738.13</v>
          </cell>
        </row>
        <row r="165">
          <cell r="A165" t="str">
            <v>51101</v>
          </cell>
          <cell r="B165" t="str">
            <v xml:space="preserve">  Muebles de oficina y estantería</v>
          </cell>
          <cell r="C165" t="str">
            <v>01</v>
          </cell>
          <cell r="F165">
            <v>160000</v>
          </cell>
          <cell r="V165">
            <v>158738.13</v>
          </cell>
        </row>
        <row r="166">
          <cell r="A166" t="str">
            <v>51500</v>
          </cell>
          <cell r="B166" t="str">
            <v xml:space="preserve">  Equipo de cómputo y de tecnologías de la información</v>
          </cell>
          <cell r="C166" t="str">
            <v>01</v>
          </cell>
          <cell r="F166">
            <v>435000</v>
          </cell>
          <cell r="V166">
            <v>310070.73</v>
          </cell>
        </row>
        <row r="167">
          <cell r="A167" t="str">
            <v>51501</v>
          </cell>
          <cell r="B167" t="str">
            <v xml:space="preserve">  Equipo de cómputo y de tecnología de la información</v>
          </cell>
          <cell r="C167" t="str">
            <v>01</v>
          </cell>
          <cell r="F167">
            <v>435000</v>
          </cell>
          <cell r="V167">
            <v>310070.73</v>
          </cell>
        </row>
        <row r="168">
          <cell r="A168" t="str">
            <v>56000</v>
          </cell>
          <cell r="B168" t="str">
            <v>MAQUINARIA, OTROS EQUIPOS Y HERRAMIENTAS</v>
          </cell>
          <cell r="C168" t="str">
            <v>01</v>
          </cell>
          <cell r="F168">
            <v>77500</v>
          </cell>
          <cell r="V168">
            <v>36787.9</v>
          </cell>
        </row>
        <row r="169">
          <cell r="A169" t="str">
            <v>56400</v>
          </cell>
          <cell r="B169" t="str">
            <v xml:space="preserve">  Sistemas de aire acondicionado, calefacción y de refrigeración industrial y comercial</v>
          </cell>
          <cell r="C169" t="str">
            <v>01</v>
          </cell>
          <cell r="F169">
            <v>37500</v>
          </cell>
          <cell r="V169">
            <v>36787.9</v>
          </cell>
        </row>
        <row r="170">
          <cell r="A170" t="str">
            <v>56401</v>
          </cell>
          <cell r="B170" t="str">
            <v xml:space="preserve">  Sistemas de aire acondicionado, calefacción y de refrigeración industrial y comercial</v>
          </cell>
          <cell r="C170" t="str">
            <v>01</v>
          </cell>
          <cell r="F170">
            <v>37500</v>
          </cell>
          <cell r="V170">
            <v>36787.9</v>
          </cell>
        </row>
        <row r="171">
          <cell r="A171" t="str">
            <v>56600</v>
          </cell>
          <cell r="B171" t="str">
            <v xml:space="preserve">  Equipos de generación eléctrica, aparatos y accesorios eléctricos</v>
          </cell>
          <cell r="C171" t="str">
            <v>01</v>
          </cell>
          <cell r="F171">
            <v>40000</v>
          </cell>
          <cell r="V171">
            <v>0</v>
          </cell>
        </row>
        <row r="172">
          <cell r="A172" t="str">
            <v>56601</v>
          </cell>
          <cell r="B172" t="str">
            <v xml:space="preserve">  Equipos de generación eléctrica, aparatos y accesorios eléctricos</v>
          </cell>
          <cell r="C172" t="str">
            <v>01</v>
          </cell>
          <cell r="F172">
            <v>40000</v>
          </cell>
          <cell r="V172">
            <v>0</v>
          </cell>
        </row>
        <row r="173">
          <cell r="A173" t="str">
            <v>10000</v>
          </cell>
          <cell r="B173" t="str">
            <v>SERVICIOS PERSONALES</v>
          </cell>
          <cell r="C173" t="str">
            <v>02</v>
          </cell>
          <cell r="F173">
            <v>6601506.2000000002</v>
          </cell>
          <cell r="V173">
            <v>3707371.41</v>
          </cell>
        </row>
        <row r="174">
          <cell r="A174" t="str">
            <v>11000</v>
          </cell>
          <cell r="B174" t="str">
            <v>REMUNERACIONES AL PERSONAL DE CARÁCTER PERMANENTE</v>
          </cell>
          <cell r="C174" t="str">
            <v>02</v>
          </cell>
          <cell r="F174">
            <v>2310675.52</v>
          </cell>
          <cell r="V174">
            <v>1466338.19</v>
          </cell>
        </row>
        <row r="175">
          <cell r="A175" t="str">
            <v>11300</v>
          </cell>
          <cell r="B175" t="str">
            <v xml:space="preserve">  Sueldos base al personal permanente</v>
          </cell>
          <cell r="C175" t="str">
            <v>02</v>
          </cell>
          <cell r="F175">
            <v>2310675.52</v>
          </cell>
          <cell r="V175">
            <v>1466338.19</v>
          </cell>
        </row>
        <row r="176">
          <cell r="A176" t="str">
            <v>11301</v>
          </cell>
          <cell r="B176" t="str">
            <v xml:space="preserve">  Sueldos base al personal permanente</v>
          </cell>
          <cell r="C176" t="str">
            <v>02</v>
          </cell>
          <cell r="F176">
            <v>2310675.52</v>
          </cell>
          <cell r="V176">
            <v>1466338.19</v>
          </cell>
        </row>
        <row r="177">
          <cell r="A177" t="str">
            <v>13000</v>
          </cell>
          <cell r="B177" t="str">
            <v>REMUNERACIONES ADICIONALES Y ESPECIALES</v>
          </cell>
          <cell r="C177" t="str">
            <v>02</v>
          </cell>
          <cell r="F177">
            <v>2184784.2000000002</v>
          </cell>
          <cell r="V177">
            <v>1097460.99</v>
          </cell>
        </row>
        <row r="178">
          <cell r="A178" t="str">
            <v>13200</v>
          </cell>
          <cell r="B178" t="str">
            <v xml:space="preserve">  Primas de vacaciones, dominical y gratificación de fin de año</v>
          </cell>
          <cell r="C178" t="str">
            <v>02</v>
          </cell>
          <cell r="F178">
            <v>564839.71</v>
          </cell>
          <cell r="V178">
            <v>151616.94</v>
          </cell>
        </row>
        <row r="179">
          <cell r="A179" t="str">
            <v>13201</v>
          </cell>
          <cell r="B179" t="str">
            <v xml:space="preserve">  Gratificación anual</v>
          </cell>
          <cell r="C179" t="str">
            <v>02</v>
          </cell>
          <cell r="F179">
            <v>356130.61</v>
          </cell>
          <cell r="V179">
            <v>16891.599999999999</v>
          </cell>
        </row>
        <row r="180">
          <cell r="A180" t="str">
            <v>13202</v>
          </cell>
          <cell r="B180" t="str">
            <v xml:space="preserve">  Prima Vacacional</v>
          </cell>
          <cell r="C180" t="str">
            <v>02</v>
          </cell>
          <cell r="F180">
            <v>208709.1</v>
          </cell>
          <cell r="V180">
            <v>134725.34</v>
          </cell>
        </row>
        <row r="181">
          <cell r="A181" t="str">
            <v>13300</v>
          </cell>
          <cell r="B181" t="str">
            <v xml:space="preserve">  Horas extraordinarias</v>
          </cell>
          <cell r="C181" t="str">
            <v>02</v>
          </cell>
          <cell r="F181">
            <v>201238.21</v>
          </cell>
          <cell r="V181">
            <v>17638.37</v>
          </cell>
        </row>
        <row r="182">
          <cell r="A182" t="str">
            <v>13301</v>
          </cell>
          <cell r="B182" t="str">
            <v xml:space="preserve">  Horas extraordinarias</v>
          </cell>
          <cell r="C182" t="str">
            <v>02</v>
          </cell>
          <cell r="F182">
            <v>14445.29</v>
          </cell>
          <cell r="V182">
            <v>10827.65</v>
          </cell>
        </row>
        <row r="183">
          <cell r="A183" t="str">
            <v>13302</v>
          </cell>
          <cell r="B183" t="str">
            <v xml:space="preserve">  Vacaciones Pagadas</v>
          </cell>
          <cell r="C183" t="str">
            <v>02</v>
          </cell>
          <cell r="F183">
            <v>186792.92</v>
          </cell>
          <cell r="V183">
            <v>6810.72</v>
          </cell>
        </row>
        <row r="184">
          <cell r="A184" t="str">
            <v>13400</v>
          </cell>
          <cell r="B184" t="str">
            <v xml:space="preserve">  Compensaciones</v>
          </cell>
          <cell r="C184" t="str">
            <v>02</v>
          </cell>
          <cell r="F184">
            <v>89440.4</v>
          </cell>
          <cell r="V184">
            <v>20910</v>
          </cell>
        </row>
        <row r="185">
          <cell r="A185" t="str">
            <v>13401</v>
          </cell>
          <cell r="B185" t="str">
            <v xml:space="preserve">  Compensaciones</v>
          </cell>
          <cell r="C185" t="str">
            <v>02</v>
          </cell>
          <cell r="F185">
            <v>72440.399999999994</v>
          </cell>
          <cell r="V185">
            <v>17085</v>
          </cell>
        </row>
        <row r="186">
          <cell r="A186" t="str">
            <v>13403</v>
          </cell>
          <cell r="B186" t="str">
            <v xml:space="preserve">  Bono Complementario</v>
          </cell>
          <cell r="C186" t="str">
            <v>02</v>
          </cell>
          <cell r="F186">
            <v>17000</v>
          </cell>
          <cell r="V186">
            <v>3825</v>
          </cell>
        </row>
        <row r="187">
          <cell r="A187" t="str">
            <v>13700</v>
          </cell>
          <cell r="B187" t="str">
            <v xml:space="preserve">  Honorarios especiales</v>
          </cell>
          <cell r="C187" t="str">
            <v>02</v>
          </cell>
          <cell r="F187">
            <v>1329265.8799999999</v>
          </cell>
          <cell r="V187">
            <v>907295.68</v>
          </cell>
        </row>
        <row r="188">
          <cell r="A188" t="str">
            <v>13701</v>
          </cell>
          <cell r="B188" t="str">
            <v xml:space="preserve">  Cortes y Limitaciones</v>
          </cell>
          <cell r="C188" t="str">
            <v>02</v>
          </cell>
          <cell r="F188">
            <v>543616.9</v>
          </cell>
          <cell r="V188">
            <v>514963.49</v>
          </cell>
        </row>
        <row r="189">
          <cell r="A189" t="str">
            <v>13702</v>
          </cell>
          <cell r="B189" t="str">
            <v xml:space="preserve">  Gastos de Ejecucion</v>
          </cell>
          <cell r="C189" t="str">
            <v>02</v>
          </cell>
          <cell r="F189">
            <v>785648.98</v>
          </cell>
          <cell r="V189">
            <v>392332.19</v>
          </cell>
        </row>
        <row r="190">
          <cell r="A190" t="str">
            <v>14000</v>
          </cell>
          <cell r="B190" t="str">
            <v>SEGURIDAD SOCIAL</v>
          </cell>
          <cell r="C190" t="str">
            <v>02</v>
          </cell>
          <cell r="F190">
            <v>820293.11</v>
          </cell>
          <cell r="V190">
            <v>497884.48</v>
          </cell>
        </row>
        <row r="191">
          <cell r="A191" t="str">
            <v>14100</v>
          </cell>
          <cell r="B191" t="str">
            <v xml:space="preserve">  Aportaciones de seguridad social</v>
          </cell>
          <cell r="C191" t="str">
            <v>02</v>
          </cell>
          <cell r="F191">
            <v>169766.05</v>
          </cell>
          <cell r="V191">
            <v>102730.22</v>
          </cell>
        </row>
        <row r="192">
          <cell r="A192" t="str">
            <v>14101</v>
          </cell>
          <cell r="B192" t="str">
            <v xml:space="preserve">  Aportaciones a Pensiones</v>
          </cell>
          <cell r="C192" t="str">
            <v>02</v>
          </cell>
          <cell r="F192">
            <v>169766.05</v>
          </cell>
          <cell r="V192">
            <v>102730.22</v>
          </cell>
        </row>
        <row r="193">
          <cell r="A193" t="str">
            <v>14300</v>
          </cell>
          <cell r="B193" t="str">
            <v xml:space="preserve">  Aportaciones al sistema para el retiro</v>
          </cell>
          <cell r="C193" t="str">
            <v>02</v>
          </cell>
          <cell r="F193">
            <v>650527.06000000006</v>
          </cell>
          <cell r="V193">
            <v>395154.26</v>
          </cell>
        </row>
        <row r="194">
          <cell r="A194" t="str">
            <v>14301</v>
          </cell>
          <cell r="B194" t="str">
            <v xml:space="preserve">  Aportaciones para el fondo propio</v>
          </cell>
          <cell r="C194" t="str">
            <v>02</v>
          </cell>
          <cell r="F194">
            <v>650527.06000000006</v>
          </cell>
          <cell r="V194">
            <v>395154.26</v>
          </cell>
        </row>
        <row r="195">
          <cell r="A195" t="str">
            <v>15000</v>
          </cell>
          <cell r="B195" t="str">
            <v>OTRAS PRESTACIONES SOCIALES Y ECONÓMICAS</v>
          </cell>
          <cell r="C195" t="str">
            <v>02</v>
          </cell>
          <cell r="F195">
            <v>1285753.3700000001</v>
          </cell>
          <cell r="V195">
            <v>645687.75</v>
          </cell>
        </row>
        <row r="196">
          <cell r="A196" t="str">
            <v>15200</v>
          </cell>
          <cell r="B196" t="str">
            <v xml:space="preserve">  Indemnizaciones</v>
          </cell>
          <cell r="C196" t="str">
            <v>02</v>
          </cell>
          <cell r="F196">
            <v>585233.76</v>
          </cell>
          <cell r="V196">
            <v>201293.73</v>
          </cell>
        </row>
        <row r="197">
          <cell r="A197" t="str">
            <v>15201</v>
          </cell>
          <cell r="B197" t="str">
            <v xml:space="preserve">  Indemnizaciones</v>
          </cell>
          <cell r="C197" t="str">
            <v>02</v>
          </cell>
          <cell r="F197">
            <v>585233.76</v>
          </cell>
          <cell r="V197">
            <v>201293.73</v>
          </cell>
        </row>
        <row r="198">
          <cell r="A198" t="str">
            <v>15400</v>
          </cell>
          <cell r="B198" t="str">
            <v xml:space="preserve">  Prestaciones contractuales</v>
          </cell>
          <cell r="C198" t="str">
            <v>02</v>
          </cell>
          <cell r="F198">
            <v>698819.61</v>
          </cell>
          <cell r="V198">
            <v>444394.02</v>
          </cell>
        </row>
        <row r="199">
          <cell r="A199" t="str">
            <v>15401</v>
          </cell>
          <cell r="B199" t="str">
            <v xml:space="preserve">  Ayuda para lentes</v>
          </cell>
          <cell r="C199" t="str">
            <v>02</v>
          </cell>
          <cell r="F199">
            <v>4452</v>
          </cell>
          <cell r="V199">
            <v>0</v>
          </cell>
        </row>
        <row r="200">
          <cell r="A200" t="str">
            <v>15404</v>
          </cell>
          <cell r="B200" t="str">
            <v xml:space="preserve">  Despensa</v>
          </cell>
          <cell r="C200" t="str">
            <v>02</v>
          </cell>
          <cell r="F200">
            <v>528644.32999999996</v>
          </cell>
          <cell r="V200">
            <v>341032.25</v>
          </cell>
        </row>
        <row r="201">
          <cell r="A201" t="str">
            <v>15407</v>
          </cell>
          <cell r="B201" t="str">
            <v xml:space="preserve">  Aguabono</v>
          </cell>
          <cell r="C201" t="str">
            <v>02</v>
          </cell>
          <cell r="F201">
            <v>109678.2</v>
          </cell>
          <cell r="V201">
            <v>66914</v>
          </cell>
        </row>
        <row r="202">
          <cell r="A202" t="str">
            <v>15408</v>
          </cell>
          <cell r="B202" t="str">
            <v xml:space="preserve">  2% Sobre Sueldo</v>
          </cell>
          <cell r="C202" t="str">
            <v>02</v>
          </cell>
          <cell r="F202">
            <v>54210.080000000002</v>
          </cell>
          <cell r="V202">
            <v>35645.269999999997</v>
          </cell>
        </row>
        <row r="203">
          <cell r="A203" t="str">
            <v>15409</v>
          </cell>
          <cell r="B203" t="str">
            <v xml:space="preserve">  Otras Prestaciones Contractuales</v>
          </cell>
          <cell r="C203" t="str">
            <v>02</v>
          </cell>
          <cell r="F203">
            <v>1835</v>
          </cell>
          <cell r="V203">
            <v>802.5</v>
          </cell>
        </row>
        <row r="204">
          <cell r="A204" t="str">
            <v>15900</v>
          </cell>
          <cell r="B204" t="str">
            <v xml:space="preserve">  Otras prestaciones sociales y económicas</v>
          </cell>
          <cell r="C204" t="str">
            <v>02</v>
          </cell>
          <cell r="F204">
            <v>1700</v>
          </cell>
          <cell r="V204">
            <v>0</v>
          </cell>
        </row>
        <row r="205">
          <cell r="A205" t="str">
            <v>15901</v>
          </cell>
          <cell r="B205" t="str">
            <v xml:space="preserve">  Otras prestaciones sociales y económicas</v>
          </cell>
          <cell r="C205" t="str">
            <v>02</v>
          </cell>
          <cell r="F205">
            <v>1700</v>
          </cell>
          <cell r="V205">
            <v>0</v>
          </cell>
        </row>
        <row r="206">
          <cell r="A206" t="str">
            <v>20000</v>
          </cell>
          <cell r="B206" t="str">
            <v>MATERIALES Y SUMINISTROS</v>
          </cell>
          <cell r="C206" t="str">
            <v>02</v>
          </cell>
          <cell r="F206">
            <v>1003542.66</v>
          </cell>
          <cell r="V206">
            <v>214178.76</v>
          </cell>
        </row>
        <row r="207">
          <cell r="A207" t="str">
            <v>21000</v>
          </cell>
          <cell r="B207" t="str">
            <v>MATERIALES DE ADMINISTRACIÓN, EMISIÓN DE DOCUMENTOS Y ARTÍCULOS OFICIALES</v>
          </cell>
          <cell r="C207" t="str">
            <v>02</v>
          </cell>
          <cell r="F207">
            <v>168338.71</v>
          </cell>
          <cell r="V207">
            <v>122202.73</v>
          </cell>
        </row>
        <row r="208">
          <cell r="A208" t="str">
            <v>21100</v>
          </cell>
          <cell r="B208" t="str">
            <v xml:space="preserve">  Materiales, útiles y equipos menores de oficina</v>
          </cell>
          <cell r="C208" t="str">
            <v>02</v>
          </cell>
          <cell r="F208">
            <v>13767</v>
          </cell>
          <cell r="V208">
            <v>11370.01</v>
          </cell>
        </row>
        <row r="209">
          <cell r="A209" t="str">
            <v>21101</v>
          </cell>
          <cell r="B209" t="str">
            <v xml:space="preserve">  Materiales, útiles y equipos menores de oficina</v>
          </cell>
          <cell r="C209" t="str">
            <v>02</v>
          </cell>
          <cell r="F209">
            <v>13767</v>
          </cell>
          <cell r="V209">
            <v>11370.01</v>
          </cell>
        </row>
        <row r="210">
          <cell r="A210" t="str">
            <v>21500</v>
          </cell>
          <cell r="B210" t="str">
            <v xml:space="preserve">  Material impreso e información digital</v>
          </cell>
          <cell r="C210" t="str">
            <v>02</v>
          </cell>
          <cell r="F210">
            <v>65099.58</v>
          </cell>
          <cell r="V210">
            <v>49482.720000000001</v>
          </cell>
        </row>
        <row r="211">
          <cell r="A211" t="str">
            <v>21501</v>
          </cell>
          <cell r="B211" t="str">
            <v xml:space="preserve">  Material impreso e información digital</v>
          </cell>
          <cell r="C211" t="str">
            <v>02</v>
          </cell>
          <cell r="F211">
            <v>65099.58</v>
          </cell>
          <cell r="V211">
            <v>49482.720000000001</v>
          </cell>
        </row>
        <row r="212">
          <cell r="A212" t="str">
            <v>21800</v>
          </cell>
          <cell r="B212" t="str">
            <v xml:space="preserve">  Materiales para el registro e identificación de bienes y personas</v>
          </cell>
          <cell r="C212" t="str">
            <v>02</v>
          </cell>
          <cell r="F212">
            <v>89472.13</v>
          </cell>
          <cell r="V212">
            <v>61350</v>
          </cell>
        </row>
        <row r="213">
          <cell r="A213" t="str">
            <v>21802</v>
          </cell>
          <cell r="B213" t="str">
            <v xml:space="preserve">  Impresiones Oficiales, Formatos y Formas Valoradas</v>
          </cell>
          <cell r="C213" t="str">
            <v>02</v>
          </cell>
          <cell r="F213">
            <v>89472.13</v>
          </cell>
          <cell r="V213">
            <v>61350</v>
          </cell>
        </row>
        <row r="214">
          <cell r="A214" t="str">
            <v>22000</v>
          </cell>
          <cell r="B214" t="str">
            <v>ALIMENTOS Y UTENSILIOS</v>
          </cell>
          <cell r="C214" t="str">
            <v>02</v>
          </cell>
          <cell r="F214">
            <v>7056</v>
          </cell>
          <cell r="V214">
            <v>6995.65</v>
          </cell>
        </row>
        <row r="215">
          <cell r="A215" t="str">
            <v>22100</v>
          </cell>
          <cell r="B215" t="str">
            <v xml:space="preserve">  Productos alimenticios para personas</v>
          </cell>
          <cell r="C215" t="str">
            <v>02</v>
          </cell>
          <cell r="F215">
            <v>7056</v>
          </cell>
          <cell r="V215">
            <v>6995.65</v>
          </cell>
        </row>
        <row r="216">
          <cell r="A216" t="str">
            <v>22101</v>
          </cell>
          <cell r="B216" t="str">
            <v xml:space="preserve">  Productos alimenticios para personas</v>
          </cell>
          <cell r="C216" t="str">
            <v>02</v>
          </cell>
          <cell r="F216">
            <v>7056</v>
          </cell>
          <cell r="V216">
            <v>6995.65</v>
          </cell>
        </row>
        <row r="217">
          <cell r="A217" t="str">
            <v>23000</v>
          </cell>
          <cell r="B217" t="str">
            <v>MATERIAS PRIMAS Y MATERIALES DE PRODUCCIÓN Y COMERCIALIZACIÓN</v>
          </cell>
          <cell r="C217" t="str">
            <v>02</v>
          </cell>
          <cell r="F217">
            <v>26175.03</v>
          </cell>
          <cell r="V217">
            <v>0</v>
          </cell>
        </row>
        <row r="218">
          <cell r="A218" t="str">
            <v>23800</v>
          </cell>
          <cell r="B218" t="str">
            <v xml:space="preserve">  Mercancías adquiridas para su comercialización</v>
          </cell>
          <cell r="C218" t="str">
            <v>02</v>
          </cell>
          <cell r="F218">
            <v>26175.03</v>
          </cell>
          <cell r="V218">
            <v>0</v>
          </cell>
        </row>
        <row r="219">
          <cell r="A219" t="str">
            <v>23801</v>
          </cell>
          <cell r="B219" t="str">
            <v xml:space="preserve">  Mercancías adquiridas para su comercialización</v>
          </cell>
          <cell r="C219" t="str">
            <v>02</v>
          </cell>
          <cell r="F219">
            <v>26175.03</v>
          </cell>
          <cell r="V219">
            <v>0</v>
          </cell>
        </row>
        <row r="220">
          <cell r="A220" t="str">
            <v>24000</v>
          </cell>
          <cell r="B220" t="str">
            <v>MATERIALES Y ARTÍCULOS DE CONSTRUCCIÓN Y DE REPARACIÓN</v>
          </cell>
          <cell r="C220" t="str">
            <v>02</v>
          </cell>
          <cell r="F220">
            <v>460000</v>
          </cell>
          <cell r="V220">
            <v>0</v>
          </cell>
        </row>
        <row r="221">
          <cell r="A221" t="str">
            <v>24800</v>
          </cell>
          <cell r="B221" t="str">
            <v xml:space="preserve">  Materiales complementarios</v>
          </cell>
          <cell r="C221" t="str">
            <v>02</v>
          </cell>
          <cell r="F221">
            <v>460000</v>
          </cell>
          <cell r="V221">
            <v>0</v>
          </cell>
        </row>
        <row r="222">
          <cell r="A222" t="str">
            <v>24801</v>
          </cell>
          <cell r="B222" t="str">
            <v xml:space="preserve">  Materiales complementarios</v>
          </cell>
          <cell r="C222" t="str">
            <v>02</v>
          </cell>
          <cell r="F222">
            <v>460000</v>
          </cell>
          <cell r="V222">
            <v>0</v>
          </cell>
        </row>
        <row r="223">
          <cell r="A223" t="str">
            <v>26000</v>
          </cell>
          <cell r="B223" t="str">
            <v>COMBUSTIBLES, LUBRICANTES Y ADITIVOS</v>
          </cell>
          <cell r="C223" t="str">
            <v>02</v>
          </cell>
          <cell r="F223">
            <v>110642.7</v>
          </cell>
          <cell r="V223">
            <v>80054.28</v>
          </cell>
        </row>
        <row r="224">
          <cell r="A224" t="str">
            <v>26100</v>
          </cell>
          <cell r="B224" t="str">
            <v xml:space="preserve">  Combustibles, lubricantes y aditivos</v>
          </cell>
          <cell r="C224" t="str">
            <v>02</v>
          </cell>
          <cell r="F224">
            <v>110642.7</v>
          </cell>
          <cell r="V224">
            <v>80054.28</v>
          </cell>
        </row>
        <row r="225">
          <cell r="A225" t="str">
            <v>26101</v>
          </cell>
          <cell r="B225" t="str">
            <v xml:space="preserve">  Combustible de Equipo de Transporte</v>
          </cell>
          <cell r="C225" t="str">
            <v>02</v>
          </cell>
          <cell r="F225">
            <v>100642.7</v>
          </cell>
          <cell r="V225">
            <v>78374.28</v>
          </cell>
        </row>
        <row r="226">
          <cell r="A226" t="str">
            <v>26102</v>
          </cell>
          <cell r="B226" t="str">
            <v xml:space="preserve">  Lubricantes y Aditivos Equipo de Transporte</v>
          </cell>
          <cell r="C226" t="str">
            <v>02</v>
          </cell>
          <cell r="F226">
            <v>10000</v>
          </cell>
          <cell r="V226">
            <v>1680</v>
          </cell>
        </row>
        <row r="227">
          <cell r="A227" t="str">
            <v>27000</v>
          </cell>
          <cell r="B227" t="str">
            <v>VESTUARIO, BLANCOS, PRENDAS DE PROTECCIÓN Y ARTÍCULOS DEPORTIVOS</v>
          </cell>
          <cell r="C227" t="str">
            <v>02</v>
          </cell>
          <cell r="F227">
            <v>148606.59</v>
          </cell>
          <cell r="V227">
            <v>0</v>
          </cell>
        </row>
        <row r="228">
          <cell r="A228" t="str">
            <v>27100</v>
          </cell>
          <cell r="B228" t="str">
            <v xml:space="preserve">  Vestuario y uniformes</v>
          </cell>
          <cell r="C228" t="str">
            <v>02</v>
          </cell>
          <cell r="F228">
            <v>142765.53</v>
          </cell>
          <cell r="V228">
            <v>0</v>
          </cell>
        </row>
        <row r="229">
          <cell r="A229" t="str">
            <v>27101</v>
          </cell>
          <cell r="B229" t="str">
            <v xml:space="preserve">  Vestuario y uniformes</v>
          </cell>
          <cell r="C229" t="str">
            <v>02</v>
          </cell>
          <cell r="F229">
            <v>142765.53</v>
          </cell>
          <cell r="V229">
            <v>0</v>
          </cell>
        </row>
        <row r="230">
          <cell r="A230" t="str">
            <v>27200</v>
          </cell>
          <cell r="B230" t="str">
            <v xml:space="preserve">  Prendas de seguridad y protección personal</v>
          </cell>
          <cell r="C230" t="str">
            <v>02</v>
          </cell>
          <cell r="F230">
            <v>5841.06</v>
          </cell>
          <cell r="V230">
            <v>0</v>
          </cell>
        </row>
        <row r="231">
          <cell r="A231" t="str">
            <v>27201</v>
          </cell>
          <cell r="B231" t="str">
            <v xml:space="preserve">  Prendas de seguridad y protección personal</v>
          </cell>
          <cell r="C231" t="str">
            <v>02</v>
          </cell>
          <cell r="F231">
            <v>5841.06</v>
          </cell>
          <cell r="V231">
            <v>0</v>
          </cell>
        </row>
        <row r="232">
          <cell r="A232" t="str">
            <v>29000</v>
          </cell>
          <cell r="B232" t="str">
            <v>HERRAMIENTAS, REFACCIONES Y ACCESORIOS MENORES</v>
          </cell>
          <cell r="C232" t="str">
            <v>02</v>
          </cell>
          <cell r="F232">
            <v>82723.63</v>
          </cell>
          <cell r="V232">
            <v>4926.1000000000004</v>
          </cell>
        </row>
        <row r="233">
          <cell r="A233" t="str">
            <v>29100</v>
          </cell>
          <cell r="B233" t="str">
            <v xml:space="preserve">  Herramientas menores</v>
          </cell>
          <cell r="C233" t="str">
            <v>02</v>
          </cell>
          <cell r="F233">
            <v>5000</v>
          </cell>
          <cell r="V233">
            <v>0</v>
          </cell>
        </row>
        <row r="234">
          <cell r="A234" t="str">
            <v>29101</v>
          </cell>
          <cell r="B234" t="str">
            <v xml:space="preserve">  Herramientas menores</v>
          </cell>
          <cell r="C234" t="str">
            <v>02</v>
          </cell>
          <cell r="F234">
            <v>5000</v>
          </cell>
          <cell r="V234">
            <v>0</v>
          </cell>
        </row>
        <row r="235">
          <cell r="A235" t="str">
            <v>29400</v>
          </cell>
          <cell r="B235" t="str">
            <v xml:space="preserve">  Refacciones y accesorios menores de equipo de cómputo y tecnologías de la información</v>
          </cell>
          <cell r="C235" t="str">
            <v>02</v>
          </cell>
          <cell r="F235">
            <v>44856.84</v>
          </cell>
          <cell r="V235">
            <v>1088.0999999999999</v>
          </cell>
        </row>
        <row r="236">
          <cell r="A236" t="str">
            <v>29401</v>
          </cell>
          <cell r="B236" t="str">
            <v xml:space="preserve">  Refacciones y accesorios menores de equipo de cómputo y tecnologías de la información</v>
          </cell>
          <cell r="C236" t="str">
            <v>02</v>
          </cell>
          <cell r="F236">
            <v>44856.84</v>
          </cell>
          <cell r="V236">
            <v>1088.0999999999999</v>
          </cell>
        </row>
        <row r="237">
          <cell r="A237" t="str">
            <v>29600</v>
          </cell>
          <cell r="B237" t="str">
            <v xml:space="preserve">  Refacciones y accesorios menores de equipo de transporte</v>
          </cell>
          <cell r="C237" t="str">
            <v>02</v>
          </cell>
          <cell r="F237">
            <v>25666.79</v>
          </cell>
          <cell r="V237">
            <v>1848</v>
          </cell>
        </row>
        <row r="238">
          <cell r="A238" t="str">
            <v>29601</v>
          </cell>
          <cell r="B238" t="str">
            <v xml:space="preserve">  Refacciones y accesorios menores de equipo de transporte</v>
          </cell>
          <cell r="C238" t="str">
            <v>02</v>
          </cell>
          <cell r="F238">
            <v>25666.79</v>
          </cell>
          <cell r="V238">
            <v>1848</v>
          </cell>
        </row>
        <row r="239">
          <cell r="A239" t="str">
            <v>29800</v>
          </cell>
          <cell r="B239" t="str">
            <v xml:space="preserve">  Refacciones y accesorios menores de maquinaria y otros equipos</v>
          </cell>
          <cell r="C239" t="str">
            <v>02</v>
          </cell>
          <cell r="F239">
            <v>7200</v>
          </cell>
          <cell r="V239">
            <v>1990</v>
          </cell>
        </row>
        <row r="240">
          <cell r="A240" t="str">
            <v>29801</v>
          </cell>
          <cell r="B240" t="str">
            <v xml:space="preserve">  Refacciones y accesorios menores de maquinaria y otros equipos</v>
          </cell>
          <cell r="C240" t="str">
            <v>02</v>
          </cell>
          <cell r="F240">
            <v>7200</v>
          </cell>
          <cell r="V240">
            <v>1990</v>
          </cell>
        </row>
        <row r="241">
          <cell r="A241" t="str">
            <v>30000</v>
          </cell>
          <cell r="B241" t="str">
            <v>SERVICIOS GENERALES</v>
          </cell>
          <cell r="C241" t="str">
            <v>02</v>
          </cell>
          <cell r="F241">
            <v>1116058.08</v>
          </cell>
          <cell r="V241">
            <v>327873.52</v>
          </cell>
        </row>
        <row r="242">
          <cell r="A242" t="str">
            <v>32000</v>
          </cell>
          <cell r="B242" t="str">
            <v>SERVICIOS DE ARRENDAMIENTO</v>
          </cell>
          <cell r="C242" t="str">
            <v>02</v>
          </cell>
          <cell r="F242">
            <v>88963.7</v>
          </cell>
          <cell r="V242">
            <v>53734</v>
          </cell>
        </row>
        <row r="243">
          <cell r="A243" t="str">
            <v>32700</v>
          </cell>
          <cell r="B243" t="str">
            <v xml:space="preserve">  Arrendamiento de activos intangibles</v>
          </cell>
          <cell r="C243" t="str">
            <v>02</v>
          </cell>
          <cell r="F243">
            <v>88963.7</v>
          </cell>
          <cell r="V243">
            <v>53734</v>
          </cell>
        </row>
        <row r="244">
          <cell r="A244" t="str">
            <v>32701</v>
          </cell>
          <cell r="B244" t="str">
            <v xml:space="preserve">  Arrendamiento de activos intangibles</v>
          </cell>
          <cell r="C244" t="str">
            <v>02</v>
          </cell>
          <cell r="F244">
            <v>88963.7</v>
          </cell>
          <cell r="V244">
            <v>53734</v>
          </cell>
        </row>
        <row r="245">
          <cell r="A245" t="str">
            <v>33000</v>
          </cell>
          <cell r="B245" t="str">
            <v>SERVICIOS PROFESIONALES, CIENTÍFICOS, TÉCNICOS Y OTROS SERVICIOS</v>
          </cell>
          <cell r="C245" t="str">
            <v>02</v>
          </cell>
          <cell r="F245">
            <v>134248.62</v>
          </cell>
          <cell r="V245">
            <v>2351</v>
          </cell>
        </row>
        <row r="246">
          <cell r="A246" t="str">
            <v>33100</v>
          </cell>
          <cell r="B246" t="str">
            <v xml:space="preserve">  Servicios legales, de contabilidad, auditoría y relacionados</v>
          </cell>
          <cell r="C246" t="str">
            <v>02</v>
          </cell>
          <cell r="F246">
            <v>30000</v>
          </cell>
          <cell r="V246">
            <v>0</v>
          </cell>
        </row>
        <row r="247">
          <cell r="A247" t="str">
            <v>33101</v>
          </cell>
          <cell r="B247" t="str">
            <v xml:space="preserve">  Servicios legales, de contabilidad, auditoría y relacionados</v>
          </cell>
          <cell r="C247" t="str">
            <v>02</v>
          </cell>
          <cell r="F247">
            <v>30000</v>
          </cell>
          <cell r="V247">
            <v>0</v>
          </cell>
        </row>
        <row r="248">
          <cell r="A248" t="str">
            <v>33600</v>
          </cell>
          <cell r="B248" t="str">
            <v xml:space="preserve">  Servicios de apoyo administrativo, traducción, fotocopiado e impresión</v>
          </cell>
          <cell r="C248" t="str">
            <v>02</v>
          </cell>
          <cell r="F248">
            <v>4248.62</v>
          </cell>
          <cell r="V248">
            <v>2351</v>
          </cell>
        </row>
        <row r="249">
          <cell r="A249" t="str">
            <v>33601</v>
          </cell>
          <cell r="B249" t="str">
            <v xml:space="preserve">  Servicios de apoyo administrativo, fotocopiado e impresión</v>
          </cell>
          <cell r="C249" t="str">
            <v>02</v>
          </cell>
          <cell r="F249">
            <v>4248.62</v>
          </cell>
          <cell r="V249">
            <v>2351</v>
          </cell>
        </row>
        <row r="250">
          <cell r="A250" t="str">
            <v>33900</v>
          </cell>
          <cell r="B250" t="str">
            <v xml:space="preserve">  Servicios profesionales, científicos y técnicos integrales</v>
          </cell>
          <cell r="C250" t="str">
            <v>02</v>
          </cell>
          <cell r="F250">
            <v>100000</v>
          </cell>
          <cell r="V250">
            <v>0</v>
          </cell>
        </row>
        <row r="251">
          <cell r="A251" t="str">
            <v>33901</v>
          </cell>
          <cell r="B251" t="str">
            <v xml:space="preserve">  Servicios profesionales, científicos y técnicos integrales</v>
          </cell>
          <cell r="C251" t="str">
            <v>02</v>
          </cell>
          <cell r="F251">
            <v>100000</v>
          </cell>
          <cell r="V251">
            <v>0</v>
          </cell>
        </row>
        <row r="252">
          <cell r="A252" t="str">
            <v>34000</v>
          </cell>
          <cell r="B252" t="str">
            <v>SERVICIOS FINANCIEROS, BANCARIOS Y COMERCIALES</v>
          </cell>
          <cell r="C252" t="str">
            <v>02</v>
          </cell>
          <cell r="F252">
            <v>417471.04</v>
          </cell>
          <cell r="V252">
            <v>179490.64</v>
          </cell>
        </row>
        <row r="253">
          <cell r="A253" t="str">
            <v>34500</v>
          </cell>
          <cell r="B253" t="str">
            <v xml:space="preserve">  Seguro de bienes patrimoniales</v>
          </cell>
          <cell r="C253" t="str">
            <v>02</v>
          </cell>
          <cell r="F253">
            <v>311847.09999999998</v>
          </cell>
          <cell r="V253">
            <v>143726.25</v>
          </cell>
        </row>
        <row r="254">
          <cell r="A254" t="str">
            <v>34501</v>
          </cell>
          <cell r="B254" t="str">
            <v xml:space="preserve">  Seguro de bienes patrimoniales</v>
          </cell>
          <cell r="C254" t="str">
            <v>02</v>
          </cell>
          <cell r="F254">
            <v>311847.09999999998</v>
          </cell>
          <cell r="V254">
            <v>143726.25</v>
          </cell>
        </row>
        <row r="255">
          <cell r="A255" t="str">
            <v>34800</v>
          </cell>
          <cell r="B255" t="str">
            <v xml:space="preserve">  Comisiones por ventas</v>
          </cell>
          <cell r="C255" t="str">
            <v>02</v>
          </cell>
          <cell r="F255">
            <v>105623.94</v>
          </cell>
          <cell r="V255">
            <v>35764.39</v>
          </cell>
        </row>
        <row r="256">
          <cell r="A256" t="str">
            <v>34801</v>
          </cell>
          <cell r="B256" t="str">
            <v xml:space="preserve">  Comisiones por ventas</v>
          </cell>
          <cell r="C256" t="str">
            <v>02</v>
          </cell>
          <cell r="F256">
            <v>105623.94</v>
          </cell>
          <cell r="V256">
            <v>35764.39</v>
          </cell>
        </row>
        <row r="257">
          <cell r="A257" t="str">
            <v>35000</v>
          </cell>
          <cell r="B257" t="str">
            <v>SERVICIOS DE INSTALACIÓN, REPARACIÓN, MANTENIMIENTO Y CONSERVACIÓN</v>
          </cell>
          <cell r="C257" t="str">
            <v>02</v>
          </cell>
          <cell r="F257">
            <v>421830.25</v>
          </cell>
          <cell r="V257">
            <v>54778.64</v>
          </cell>
        </row>
        <row r="258">
          <cell r="A258" t="str">
            <v>35300</v>
          </cell>
          <cell r="B258" t="str">
            <v xml:space="preserve">  Instalación, reparación y mantenimiento de equipo de cómputo y tecnología de la información</v>
          </cell>
          <cell r="C258" t="str">
            <v>02</v>
          </cell>
          <cell r="F258">
            <v>415647</v>
          </cell>
          <cell r="V258">
            <v>50000</v>
          </cell>
        </row>
        <row r="259">
          <cell r="A259" t="str">
            <v>35301</v>
          </cell>
          <cell r="B259" t="str">
            <v xml:space="preserve">  Instalación, reparación y mantenimiento de equipo de cómputo y tecnologías de la información</v>
          </cell>
          <cell r="C259" t="str">
            <v>02</v>
          </cell>
          <cell r="F259">
            <v>415647</v>
          </cell>
          <cell r="V259">
            <v>50000</v>
          </cell>
        </row>
        <row r="260">
          <cell r="A260" t="str">
            <v>35500</v>
          </cell>
          <cell r="B260" t="str">
            <v xml:space="preserve">  Reparación y mantenimiento de equipo de transporte</v>
          </cell>
          <cell r="C260" t="str">
            <v>02</v>
          </cell>
          <cell r="F260">
            <v>2683.25</v>
          </cell>
          <cell r="V260">
            <v>2628.64</v>
          </cell>
        </row>
        <row r="261">
          <cell r="A261" t="str">
            <v>35501</v>
          </cell>
          <cell r="B261" t="str">
            <v xml:space="preserve">  Reparación y mantenimiento de equipo de transporte</v>
          </cell>
          <cell r="C261" t="str">
            <v>02</v>
          </cell>
          <cell r="F261">
            <v>2683.25</v>
          </cell>
          <cell r="V261">
            <v>2628.64</v>
          </cell>
        </row>
        <row r="262">
          <cell r="A262" t="str">
            <v>35700</v>
          </cell>
          <cell r="B262" t="str">
            <v xml:space="preserve">  Instalación, reparación y mantenimiento de maquinaria, otros equipos y herramienta</v>
          </cell>
          <cell r="C262" t="str">
            <v>02</v>
          </cell>
          <cell r="F262">
            <v>3500</v>
          </cell>
          <cell r="V262">
            <v>2150</v>
          </cell>
        </row>
        <row r="263">
          <cell r="A263" t="str">
            <v>35701</v>
          </cell>
          <cell r="B263" t="str">
            <v xml:space="preserve">  Instalación, reparación y mantenimiento de maquinaria, otros equipos y herramienta</v>
          </cell>
          <cell r="C263" t="str">
            <v>02</v>
          </cell>
          <cell r="F263">
            <v>3500</v>
          </cell>
          <cell r="V263">
            <v>2150</v>
          </cell>
        </row>
        <row r="264">
          <cell r="A264" t="str">
            <v>37000</v>
          </cell>
          <cell r="B264" t="str">
            <v>SERVICIOS DE TRASLADOS Y VIÁTICOS</v>
          </cell>
          <cell r="C264" t="str">
            <v>02</v>
          </cell>
          <cell r="F264">
            <v>53544.47</v>
          </cell>
          <cell r="V264">
            <v>37519.24</v>
          </cell>
        </row>
        <row r="265">
          <cell r="A265" t="str">
            <v>37200</v>
          </cell>
          <cell r="B265" t="str">
            <v xml:space="preserve">  Pasajes terrestres</v>
          </cell>
          <cell r="C265" t="str">
            <v>02</v>
          </cell>
          <cell r="F265">
            <v>542</v>
          </cell>
          <cell r="V265">
            <v>467.24</v>
          </cell>
        </row>
        <row r="266">
          <cell r="A266" t="str">
            <v>37201</v>
          </cell>
          <cell r="B266" t="str">
            <v xml:space="preserve">  Pasajes terrestres</v>
          </cell>
          <cell r="C266" t="str">
            <v>02</v>
          </cell>
          <cell r="F266">
            <v>542</v>
          </cell>
          <cell r="V266">
            <v>467.24</v>
          </cell>
        </row>
        <row r="267">
          <cell r="A267" t="str">
            <v>37500</v>
          </cell>
          <cell r="B267" t="str">
            <v xml:space="preserve">  Viáticos en el país</v>
          </cell>
          <cell r="C267" t="str">
            <v>02</v>
          </cell>
          <cell r="F267">
            <v>53002.47</v>
          </cell>
          <cell r="V267">
            <v>37052</v>
          </cell>
        </row>
        <row r="268">
          <cell r="A268" t="str">
            <v>37501</v>
          </cell>
          <cell r="B268" t="str">
            <v xml:space="preserve">  Viáticos en el país</v>
          </cell>
          <cell r="C268" t="str">
            <v>02</v>
          </cell>
          <cell r="F268">
            <v>7082.67</v>
          </cell>
          <cell r="V268">
            <v>6599.19</v>
          </cell>
        </row>
        <row r="269">
          <cell r="A269" t="str">
            <v>37502</v>
          </cell>
          <cell r="B269" t="str">
            <v xml:space="preserve">  Viaticos Consulta Medica</v>
          </cell>
          <cell r="C269" t="str">
            <v>02</v>
          </cell>
          <cell r="F269">
            <v>45919.8</v>
          </cell>
          <cell r="V269">
            <v>30452.81</v>
          </cell>
        </row>
        <row r="270">
          <cell r="A270" t="str">
            <v>40000</v>
          </cell>
          <cell r="B270" t="str">
            <v>TRANSFERENCIAS, ASIGNACIONES, SUBSIDIOS Y OTRAS AYUDAS</v>
          </cell>
          <cell r="C270" t="str">
            <v>02</v>
          </cell>
          <cell r="F270">
            <v>800286.28</v>
          </cell>
          <cell r="V270">
            <v>696149.38</v>
          </cell>
        </row>
        <row r="271">
          <cell r="A271" t="str">
            <v>41000</v>
          </cell>
          <cell r="B271" t="str">
            <v>TRANSFERENCIAS INTERNAS Y ASIGNACIONES AL SECTOR PÚBLICO</v>
          </cell>
          <cell r="C271" t="str">
            <v>02</v>
          </cell>
          <cell r="F271">
            <v>800286.28</v>
          </cell>
          <cell r="V271">
            <v>696149.38</v>
          </cell>
        </row>
        <row r="272">
          <cell r="A272" t="str">
            <v>41500</v>
          </cell>
          <cell r="B272" t="str">
            <v xml:space="preserve">  Transferencias internas otorgadas a entidades paraestatales no empresariales y no financieras</v>
          </cell>
          <cell r="C272" t="str">
            <v>02</v>
          </cell>
          <cell r="F272">
            <v>800286.28</v>
          </cell>
          <cell r="V272">
            <v>696149.38</v>
          </cell>
        </row>
        <row r="273">
          <cell r="A273" t="str">
            <v>41503</v>
          </cell>
          <cell r="B273" t="str">
            <v xml:space="preserve">  Diferencial de servicio medico pensiones</v>
          </cell>
          <cell r="C273" t="str">
            <v>02</v>
          </cell>
          <cell r="F273">
            <v>800286.28</v>
          </cell>
          <cell r="V273">
            <v>696149.38</v>
          </cell>
        </row>
        <row r="274">
          <cell r="A274" t="str">
            <v>10000</v>
          </cell>
          <cell r="B274" t="str">
            <v>SERVICIOS PERSONALES</v>
          </cell>
          <cell r="C274" t="str">
            <v>03</v>
          </cell>
          <cell r="F274">
            <v>13725966.810000001</v>
          </cell>
          <cell r="V274">
            <v>6606610.0099999998</v>
          </cell>
        </row>
        <row r="275">
          <cell r="A275" t="str">
            <v>11000</v>
          </cell>
          <cell r="B275" t="str">
            <v>REMUNERACIONES AL PERSONAL DE CARÁCTER PERMANENTE</v>
          </cell>
          <cell r="C275" t="str">
            <v>03</v>
          </cell>
          <cell r="F275">
            <v>5213166.96</v>
          </cell>
          <cell r="V275">
            <v>3487866.84</v>
          </cell>
        </row>
        <row r="276">
          <cell r="A276" t="str">
            <v>11300</v>
          </cell>
          <cell r="B276" t="str">
            <v xml:space="preserve">  Sueldos base al personal permanente</v>
          </cell>
          <cell r="C276" t="str">
            <v>03</v>
          </cell>
          <cell r="F276">
            <v>5213166.96</v>
          </cell>
          <cell r="V276">
            <v>3487866.84</v>
          </cell>
        </row>
        <row r="277">
          <cell r="A277" t="str">
            <v>11301</v>
          </cell>
          <cell r="B277" t="str">
            <v xml:space="preserve">  Sueldos base al personal permanente</v>
          </cell>
          <cell r="C277" t="str">
            <v>03</v>
          </cell>
          <cell r="F277">
            <v>5213166.96</v>
          </cell>
          <cell r="V277">
            <v>3487866.84</v>
          </cell>
        </row>
        <row r="278">
          <cell r="A278" t="str">
            <v>12000</v>
          </cell>
          <cell r="B278" t="str">
            <v>REMUNERACIONES AL PERSONAL DE CARÁCTER TRANSITORIO</v>
          </cell>
          <cell r="C278" t="str">
            <v>03</v>
          </cell>
          <cell r="F278">
            <v>807976.76</v>
          </cell>
          <cell r="V278">
            <v>475238.40000000002</v>
          </cell>
        </row>
        <row r="279">
          <cell r="A279" t="str">
            <v>12200</v>
          </cell>
          <cell r="B279" t="str">
            <v xml:space="preserve">  Sueldos base al personal eventual</v>
          </cell>
          <cell r="C279" t="str">
            <v>03</v>
          </cell>
          <cell r="F279">
            <v>807976.76</v>
          </cell>
          <cell r="V279">
            <v>475238.40000000002</v>
          </cell>
        </row>
        <row r="280">
          <cell r="A280" t="str">
            <v>12201</v>
          </cell>
          <cell r="B280" t="str">
            <v xml:space="preserve">  Sueldos base al personal eventual</v>
          </cell>
          <cell r="C280" t="str">
            <v>03</v>
          </cell>
          <cell r="F280">
            <v>807976.76</v>
          </cell>
          <cell r="V280">
            <v>475238.40000000002</v>
          </cell>
        </row>
        <row r="281">
          <cell r="A281" t="str">
            <v>13000</v>
          </cell>
          <cell r="B281" t="str">
            <v>REMUNERACIONES ADICIONALES Y ESPECIALES</v>
          </cell>
          <cell r="C281" t="str">
            <v>03</v>
          </cell>
          <cell r="F281">
            <v>1834244.51</v>
          </cell>
          <cell r="V281">
            <v>368285.55</v>
          </cell>
        </row>
        <row r="282">
          <cell r="A282" t="str">
            <v>13200</v>
          </cell>
          <cell r="B282" t="str">
            <v xml:space="preserve">  Primas de vacaciones, dominical y gratificación de fin de año</v>
          </cell>
          <cell r="C282" t="str">
            <v>03</v>
          </cell>
          <cell r="F282">
            <v>1407278.09</v>
          </cell>
          <cell r="V282">
            <v>266085.86</v>
          </cell>
        </row>
        <row r="283">
          <cell r="A283" t="str">
            <v>13201</v>
          </cell>
          <cell r="B283" t="str">
            <v xml:space="preserve">  Gratificación anual</v>
          </cell>
          <cell r="C283" t="str">
            <v>03</v>
          </cell>
          <cell r="F283">
            <v>887286.77</v>
          </cell>
          <cell r="V283">
            <v>13126.48</v>
          </cell>
        </row>
        <row r="284">
          <cell r="A284" t="str">
            <v>13202</v>
          </cell>
          <cell r="B284" t="str">
            <v xml:space="preserve">  Prima Vacacional</v>
          </cell>
          <cell r="C284" t="str">
            <v>03</v>
          </cell>
          <cell r="F284">
            <v>519991.32</v>
          </cell>
          <cell r="V284">
            <v>252959.38</v>
          </cell>
        </row>
        <row r="285">
          <cell r="A285" t="str">
            <v>13300</v>
          </cell>
          <cell r="B285" t="str">
            <v xml:space="preserve">  Horas extraordinarias</v>
          </cell>
          <cell r="C285" t="str">
            <v>03</v>
          </cell>
          <cell r="F285">
            <v>232651.82</v>
          </cell>
          <cell r="V285">
            <v>16801.689999999999</v>
          </cell>
        </row>
        <row r="286">
          <cell r="A286" t="str">
            <v>13301</v>
          </cell>
          <cell r="B286" t="str">
            <v xml:space="preserve">  Horas extraordinarias</v>
          </cell>
          <cell r="C286" t="str">
            <v>03</v>
          </cell>
          <cell r="F286">
            <v>52451.82</v>
          </cell>
          <cell r="V286">
            <v>12226.83</v>
          </cell>
        </row>
        <row r="287">
          <cell r="A287" t="str">
            <v>13302</v>
          </cell>
          <cell r="B287" t="str">
            <v xml:space="preserve">  Vacaciones Pagadas</v>
          </cell>
          <cell r="C287" t="str">
            <v>03</v>
          </cell>
          <cell r="F287">
            <v>180200</v>
          </cell>
          <cell r="V287">
            <v>4574.8599999999997</v>
          </cell>
        </row>
        <row r="288">
          <cell r="A288" t="str">
            <v>13400</v>
          </cell>
          <cell r="B288" t="str">
            <v xml:space="preserve">  Compensaciones</v>
          </cell>
          <cell r="C288" t="str">
            <v>03</v>
          </cell>
          <cell r="F288">
            <v>194314.6</v>
          </cell>
          <cell r="V288">
            <v>85398</v>
          </cell>
        </row>
        <row r="289">
          <cell r="A289" t="str">
            <v>13401</v>
          </cell>
          <cell r="B289" t="str">
            <v xml:space="preserve">  Compensaciones</v>
          </cell>
          <cell r="C289" t="str">
            <v>03</v>
          </cell>
          <cell r="F289">
            <v>116769.60000000001</v>
          </cell>
          <cell r="V289">
            <v>60648</v>
          </cell>
        </row>
        <row r="290">
          <cell r="A290" t="str">
            <v>13403</v>
          </cell>
          <cell r="B290" t="str">
            <v xml:space="preserve">  Bono Complementario</v>
          </cell>
          <cell r="C290" t="str">
            <v>03</v>
          </cell>
          <cell r="F290">
            <v>77545</v>
          </cell>
          <cell r="V290">
            <v>24750</v>
          </cell>
        </row>
        <row r="291">
          <cell r="A291" t="str">
            <v>14000</v>
          </cell>
          <cell r="B291" t="str">
            <v>SEGURIDAD SOCIAL</v>
          </cell>
          <cell r="C291" t="str">
            <v>03</v>
          </cell>
          <cell r="F291">
            <v>2143595.65</v>
          </cell>
          <cell r="V291">
            <v>1244101.32</v>
          </cell>
        </row>
        <row r="292">
          <cell r="A292" t="str">
            <v>14100</v>
          </cell>
          <cell r="B292" t="str">
            <v xml:space="preserve">  Aportaciones de seguridad social</v>
          </cell>
          <cell r="C292" t="str">
            <v>03</v>
          </cell>
          <cell r="F292">
            <v>328403.21000000002</v>
          </cell>
          <cell r="V292">
            <v>201385.77</v>
          </cell>
        </row>
        <row r="293">
          <cell r="A293" t="str">
            <v>14101</v>
          </cell>
          <cell r="B293" t="str">
            <v xml:space="preserve">  Aportaciones a Pensiones</v>
          </cell>
          <cell r="C293" t="str">
            <v>03</v>
          </cell>
          <cell r="F293">
            <v>328403.21000000002</v>
          </cell>
          <cell r="V293">
            <v>201385.77</v>
          </cell>
        </row>
        <row r="294">
          <cell r="A294" t="str">
            <v>14300</v>
          </cell>
          <cell r="B294" t="str">
            <v xml:space="preserve">  Aportaciones al sistema para el retiro</v>
          </cell>
          <cell r="C294" t="str">
            <v>03</v>
          </cell>
          <cell r="F294">
            <v>1815192.44</v>
          </cell>
          <cell r="V294">
            <v>1042715.55</v>
          </cell>
        </row>
        <row r="295">
          <cell r="A295" t="str">
            <v>14301</v>
          </cell>
          <cell r="B295" t="str">
            <v xml:space="preserve">  Aportaciones para el fondo propio</v>
          </cell>
          <cell r="C295" t="str">
            <v>03</v>
          </cell>
          <cell r="F295">
            <v>1815192.44</v>
          </cell>
          <cell r="V295">
            <v>1042715.55</v>
          </cell>
        </row>
        <row r="296">
          <cell r="A296" t="str">
            <v>15000</v>
          </cell>
          <cell r="B296" t="str">
            <v>OTRAS PRESTACIONES SOCIALES Y ECONÓMICAS</v>
          </cell>
          <cell r="C296" t="str">
            <v>03</v>
          </cell>
          <cell r="F296">
            <v>3726982.93</v>
          </cell>
          <cell r="V296">
            <v>1031117.9</v>
          </cell>
        </row>
        <row r="297">
          <cell r="A297" t="str">
            <v>15200</v>
          </cell>
          <cell r="B297" t="str">
            <v xml:space="preserve">  Indemnizaciones</v>
          </cell>
          <cell r="C297" t="str">
            <v>03</v>
          </cell>
          <cell r="F297">
            <v>2137093.86</v>
          </cell>
          <cell r="V297">
            <v>99768.320000000007</v>
          </cell>
        </row>
        <row r="298">
          <cell r="A298" t="str">
            <v>15201</v>
          </cell>
          <cell r="B298" t="str">
            <v xml:space="preserve">  Indemnizaciones</v>
          </cell>
          <cell r="C298" t="str">
            <v>03</v>
          </cell>
          <cell r="F298">
            <v>2137093.86</v>
          </cell>
          <cell r="V298">
            <v>99768.320000000007</v>
          </cell>
        </row>
        <row r="299">
          <cell r="A299" t="str">
            <v>15400</v>
          </cell>
          <cell r="B299" t="str">
            <v xml:space="preserve">  Prestaciones contractuales</v>
          </cell>
          <cell r="C299" t="str">
            <v>03</v>
          </cell>
          <cell r="F299">
            <v>1531889.07</v>
          </cell>
          <cell r="V299">
            <v>931349.58</v>
          </cell>
        </row>
        <row r="300">
          <cell r="A300" t="str">
            <v>15401</v>
          </cell>
          <cell r="B300" t="str">
            <v xml:space="preserve">  Ayuda para lentes</v>
          </cell>
          <cell r="C300" t="str">
            <v>03</v>
          </cell>
          <cell r="F300">
            <v>16695</v>
          </cell>
          <cell r="V300">
            <v>0</v>
          </cell>
        </row>
        <row r="301">
          <cell r="A301" t="str">
            <v>15404</v>
          </cell>
          <cell r="B301" t="str">
            <v xml:space="preserve">  Despensa</v>
          </cell>
          <cell r="C301" t="str">
            <v>03</v>
          </cell>
          <cell r="F301">
            <v>1041898.91</v>
          </cell>
          <cell r="V301">
            <v>699763.94</v>
          </cell>
        </row>
        <row r="302">
          <cell r="A302" t="str">
            <v>15407</v>
          </cell>
          <cell r="B302" t="str">
            <v xml:space="preserve">  Aguabono</v>
          </cell>
          <cell r="C302" t="str">
            <v>03</v>
          </cell>
          <cell r="F302">
            <v>248483.21</v>
          </cell>
          <cell r="V302">
            <v>132773.20000000001</v>
          </cell>
        </row>
        <row r="303">
          <cell r="A303" t="str">
            <v>15408</v>
          </cell>
          <cell r="B303" t="str">
            <v xml:space="preserve">  2% Sobre Sueldo</v>
          </cell>
          <cell r="C303" t="str">
            <v>03</v>
          </cell>
          <cell r="F303">
            <v>167123.04999999999</v>
          </cell>
          <cell r="V303">
            <v>84367.44</v>
          </cell>
        </row>
        <row r="304">
          <cell r="A304" t="str">
            <v>15409</v>
          </cell>
          <cell r="B304" t="str">
            <v xml:space="preserve">  Otras Prestaciones Contractuales</v>
          </cell>
          <cell r="C304" t="str">
            <v>03</v>
          </cell>
          <cell r="F304">
            <v>57688.9</v>
          </cell>
          <cell r="V304">
            <v>14445</v>
          </cell>
        </row>
        <row r="305">
          <cell r="A305" t="str">
            <v>15900</v>
          </cell>
          <cell r="B305" t="str">
            <v xml:space="preserve">  Otras prestaciones sociales y económicas</v>
          </cell>
          <cell r="C305" t="str">
            <v>03</v>
          </cell>
          <cell r="F305">
            <v>58000</v>
          </cell>
          <cell r="V305">
            <v>0</v>
          </cell>
        </row>
        <row r="306">
          <cell r="A306" t="str">
            <v>15901</v>
          </cell>
          <cell r="B306" t="str">
            <v xml:space="preserve">  Otras prestaciones sociales y económicas</v>
          </cell>
          <cell r="C306" t="str">
            <v>03</v>
          </cell>
          <cell r="F306">
            <v>58000</v>
          </cell>
          <cell r="V306">
            <v>0</v>
          </cell>
        </row>
        <row r="307">
          <cell r="A307" t="str">
            <v>20000</v>
          </cell>
          <cell r="B307" t="str">
            <v>MATERIALES Y SUMINISTROS</v>
          </cell>
          <cell r="C307" t="str">
            <v>03</v>
          </cell>
          <cell r="F307">
            <v>13159331.26</v>
          </cell>
          <cell r="V307">
            <v>7154105.5499999998</v>
          </cell>
        </row>
        <row r="308">
          <cell r="A308" t="str">
            <v>21000</v>
          </cell>
          <cell r="B308" t="str">
            <v>MATERIALES DE ADMINISTRACIÓN, EMISIÓN DE DOCUMENTOS Y ARTÍCULOS OFICIALES</v>
          </cell>
          <cell r="C308" t="str">
            <v>03</v>
          </cell>
          <cell r="F308">
            <v>15948.48</v>
          </cell>
          <cell r="V308">
            <v>0</v>
          </cell>
        </row>
        <row r="309">
          <cell r="A309" t="str">
            <v>21800</v>
          </cell>
          <cell r="B309" t="str">
            <v xml:space="preserve">  Materiales para el registro e identificación de bienes y personas</v>
          </cell>
          <cell r="C309" t="str">
            <v>03</v>
          </cell>
          <cell r="F309">
            <v>15948.48</v>
          </cell>
          <cell r="V309">
            <v>0</v>
          </cell>
        </row>
        <row r="310">
          <cell r="A310" t="str">
            <v>21802</v>
          </cell>
          <cell r="B310" t="str">
            <v xml:space="preserve">  Impresiones Oficiales, Formatos y Formas Valoradas</v>
          </cell>
          <cell r="C310" t="str">
            <v>03</v>
          </cell>
          <cell r="F310">
            <v>15948.48</v>
          </cell>
          <cell r="V310">
            <v>0</v>
          </cell>
        </row>
        <row r="311">
          <cell r="A311" t="str">
            <v>22000</v>
          </cell>
          <cell r="B311" t="str">
            <v>ALIMENTOS Y UTENSILIOS</v>
          </cell>
          <cell r="C311" t="str">
            <v>03</v>
          </cell>
          <cell r="F311">
            <v>10045</v>
          </cell>
          <cell r="V311">
            <v>8413.25</v>
          </cell>
        </row>
        <row r="312">
          <cell r="A312" t="str">
            <v>22100</v>
          </cell>
          <cell r="B312" t="str">
            <v xml:space="preserve">  Productos alimenticios para personas</v>
          </cell>
          <cell r="C312" t="str">
            <v>03</v>
          </cell>
          <cell r="F312">
            <v>10045</v>
          </cell>
          <cell r="V312">
            <v>8413.25</v>
          </cell>
        </row>
        <row r="313">
          <cell r="A313" t="str">
            <v>22101</v>
          </cell>
          <cell r="B313" t="str">
            <v xml:space="preserve">  Productos alimenticios para personas</v>
          </cell>
          <cell r="C313" t="str">
            <v>03</v>
          </cell>
          <cell r="F313">
            <v>10045</v>
          </cell>
          <cell r="V313">
            <v>8413.25</v>
          </cell>
        </row>
        <row r="314">
          <cell r="A314" t="str">
            <v>23000</v>
          </cell>
          <cell r="B314" t="str">
            <v>MATERIAS PRIMAS Y MATERIALES DE PRODUCCIÓN Y COMERCIALIZACIÓN</v>
          </cell>
          <cell r="C314" t="str">
            <v>03</v>
          </cell>
          <cell r="F314">
            <v>1905129.76</v>
          </cell>
          <cell r="V314">
            <v>1214094.8400000001</v>
          </cell>
        </row>
        <row r="315">
          <cell r="A315" t="str">
            <v>23800</v>
          </cell>
          <cell r="B315" t="str">
            <v xml:space="preserve">  Mercancías adquiridas para su comercialización</v>
          </cell>
          <cell r="C315" t="str">
            <v>03</v>
          </cell>
          <cell r="F315">
            <v>1905129.76</v>
          </cell>
          <cell r="V315">
            <v>1214094.8400000001</v>
          </cell>
        </row>
        <row r="316">
          <cell r="A316" t="str">
            <v>23801</v>
          </cell>
          <cell r="B316" t="str">
            <v xml:space="preserve">  Mercancías adquiridas para su comercialización</v>
          </cell>
          <cell r="C316" t="str">
            <v>03</v>
          </cell>
          <cell r="F316">
            <v>1905129.76</v>
          </cell>
          <cell r="V316">
            <v>1214094.8400000001</v>
          </cell>
        </row>
        <row r="317">
          <cell r="A317" t="str">
            <v>24000</v>
          </cell>
          <cell r="B317" t="str">
            <v>MATERIALES Y ARTÍCULOS DE CONSTRUCCIÓN Y DE REPARACIÓN</v>
          </cell>
          <cell r="C317" t="str">
            <v>03</v>
          </cell>
          <cell r="F317">
            <v>6053970.0999999996</v>
          </cell>
          <cell r="V317">
            <v>2491790.98</v>
          </cell>
        </row>
        <row r="318">
          <cell r="A318" t="str">
            <v>24100</v>
          </cell>
          <cell r="B318" t="str">
            <v xml:space="preserve">  Productos minerales no metálicos</v>
          </cell>
          <cell r="C318" t="str">
            <v>03</v>
          </cell>
          <cell r="F318">
            <v>11316.3</v>
          </cell>
          <cell r="V318">
            <v>0</v>
          </cell>
        </row>
        <row r="319">
          <cell r="A319" t="str">
            <v>24101</v>
          </cell>
          <cell r="B319" t="str">
            <v xml:space="preserve">  Productos minerales no metálicos</v>
          </cell>
          <cell r="C319" t="str">
            <v>03</v>
          </cell>
          <cell r="F319">
            <v>11316.3</v>
          </cell>
          <cell r="V319">
            <v>0</v>
          </cell>
        </row>
        <row r="320">
          <cell r="A320" t="str">
            <v>24200</v>
          </cell>
          <cell r="B320" t="str">
            <v xml:space="preserve">  Cemento y productos de concreto</v>
          </cell>
          <cell r="C320" t="str">
            <v>03</v>
          </cell>
          <cell r="F320">
            <v>150263.17000000001</v>
          </cell>
          <cell r="V320">
            <v>36961.32</v>
          </cell>
        </row>
        <row r="321">
          <cell r="A321" t="str">
            <v>24201</v>
          </cell>
          <cell r="B321" t="str">
            <v xml:space="preserve">  Cemento y productos de concreto</v>
          </cell>
          <cell r="C321" t="str">
            <v>03</v>
          </cell>
          <cell r="F321">
            <v>150263.17000000001</v>
          </cell>
          <cell r="V321">
            <v>36961.32</v>
          </cell>
        </row>
        <row r="322">
          <cell r="A322" t="str">
            <v>24500</v>
          </cell>
          <cell r="B322" t="str">
            <v xml:space="preserve">  Vidrio y productos de vidrio</v>
          </cell>
          <cell r="C322" t="str">
            <v>03</v>
          </cell>
          <cell r="F322">
            <v>1700</v>
          </cell>
          <cell r="V322">
            <v>0</v>
          </cell>
        </row>
        <row r="323">
          <cell r="A323" t="str">
            <v>24501</v>
          </cell>
          <cell r="B323" t="str">
            <v xml:space="preserve">  Vidrio y productos de vidrio</v>
          </cell>
          <cell r="C323" t="str">
            <v>03</v>
          </cell>
          <cell r="F323">
            <v>1700</v>
          </cell>
          <cell r="V323">
            <v>0</v>
          </cell>
        </row>
        <row r="324">
          <cell r="A324" t="str">
            <v>24600</v>
          </cell>
          <cell r="B324" t="str">
            <v xml:space="preserve">  Material eléctrico y electrónico</v>
          </cell>
          <cell r="C324" t="str">
            <v>03</v>
          </cell>
          <cell r="F324">
            <v>508910.08000000002</v>
          </cell>
          <cell r="V324">
            <v>365588.23</v>
          </cell>
        </row>
        <row r="325">
          <cell r="A325" t="str">
            <v>24601</v>
          </cell>
          <cell r="B325" t="str">
            <v xml:space="preserve">  Material eléctrico y electrónico</v>
          </cell>
          <cell r="C325" t="str">
            <v>03</v>
          </cell>
          <cell r="F325">
            <v>508910.08000000002</v>
          </cell>
          <cell r="V325">
            <v>365588.23</v>
          </cell>
        </row>
        <row r="326">
          <cell r="A326" t="str">
            <v>24700</v>
          </cell>
          <cell r="B326" t="str">
            <v xml:space="preserve">  Artículos metálicos para la construcción</v>
          </cell>
          <cell r="C326" t="str">
            <v>03</v>
          </cell>
          <cell r="F326">
            <v>288181.40000000002</v>
          </cell>
          <cell r="V326">
            <v>64528.3</v>
          </cell>
        </row>
        <row r="327">
          <cell r="A327" t="str">
            <v>24701</v>
          </cell>
          <cell r="B327" t="str">
            <v xml:space="preserve">  Artículos metálicos para la construcción</v>
          </cell>
          <cell r="C327" t="str">
            <v>03</v>
          </cell>
          <cell r="F327">
            <v>288181.40000000002</v>
          </cell>
          <cell r="V327">
            <v>64528.3</v>
          </cell>
        </row>
        <row r="328">
          <cell r="A328" t="str">
            <v>24800</v>
          </cell>
          <cell r="B328" t="str">
            <v xml:space="preserve">  Materiales complementarios</v>
          </cell>
          <cell r="C328" t="str">
            <v>03</v>
          </cell>
          <cell r="F328">
            <v>5010000</v>
          </cell>
          <cell r="V328">
            <v>1962656.19</v>
          </cell>
        </row>
        <row r="329">
          <cell r="A329" t="str">
            <v>24801</v>
          </cell>
          <cell r="B329" t="str">
            <v xml:space="preserve">  Materiales complementarios</v>
          </cell>
          <cell r="C329" t="str">
            <v>03</v>
          </cell>
          <cell r="F329">
            <v>5010000</v>
          </cell>
          <cell r="V329">
            <v>1962656.19</v>
          </cell>
        </row>
        <row r="330">
          <cell r="A330" t="str">
            <v>24900</v>
          </cell>
          <cell r="B330" t="str">
            <v xml:space="preserve">  Otros materiales y artículos de construcción y reparación</v>
          </cell>
          <cell r="C330" t="str">
            <v>03</v>
          </cell>
          <cell r="F330">
            <v>83599.149999999994</v>
          </cell>
          <cell r="V330">
            <v>62056.94</v>
          </cell>
        </row>
        <row r="331">
          <cell r="A331" t="str">
            <v>24901</v>
          </cell>
          <cell r="B331" t="str">
            <v xml:space="preserve">  Otros materiales y artículos de construcción y reparación</v>
          </cell>
          <cell r="C331" t="str">
            <v>03</v>
          </cell>
          <cell r="F331">
            <v>83599.149999999994</v>
          </cell>
          <cell r="V331">
            <v>62056.94</v>
          </cell>
        </row>
        <row r="332">
          <cell r="A332" t="str">
            <v>25000</v>
          </cell>
          <cell r="B332" t="str">
            <v>PRODUCTOS QUÍMICOS, FARMACÉUTICOS Y DE LABORATORIO</v>
          </cell>
          <cell r="C332" t="str">
            <v>03</v>
          </cell>
          <cell r="F332">
            <v>974079.62</v>
          </cell>
          <cell r="V332">
            <v>791556.18</v>
          </cell>
        </row>
        <row r="333">
          <cell r="A333" t="str">
            <v>25600</v>
          </cell>
          <cell r="B333" t="str">
            <v xml:space="preserve">  Fibras sintéticas, hules, plásticos y derivados</v>
          </cell>
          <cell r="C333" t="str">
            <v>03</v>
          </cell>
          <cell r="F333">
            <v>773913.86</v>
          </cell>
          <cell r="V333">
            <v>599339.54</v>
          </cell>
        </row>
        <row r="334">
          <cell r="A334" t="str">
            <v>25601</v>
          </cell>
          <cell r="B334" t="str">
            <v xml:space="preserve">  Fibras sintéticas, hules, plásticos y derivados (PVC)</v>
          </cell>
          <cell r="C334" t="str">
            <v>03</v>
          </cell>
          <cell r="F334">
            <v>773913.86</v>
          </cell>
          <cell r="V334">
            <v>599339.54</v>
          </cell>
        </row>
        <row r="335">
          <cell r="A335" t="str">
            <v>25900</v>
          </cell>
          <cell r="B335" t="str">
            <v xml:space="preserve">  Otros productos químicos</v>
          </cell>
          <cell r="C335" t="str">
            <v>03</v>
          </cell>
          <cell r="F335">
            <v>200165.76000000001</v>
          </cell>
          <cell r="V335">
            <v>192216.64</v>
          </cell>
        </row>
        <row r="336">
          <cell r="A336" t="str">
            <v>25901</v>
          </cell>
          <cell r="B336" t="str">
            <v xml:space="preserve">  Otros productos químicos</v>
          </cell>
          <cell r="C336" t="str">
            <v>03</v>
          </cell>
          <cell r="F336">
            <v>200165.76000000001</v>
          </cell>
          <cell r="V336">
            <v>192216.64</v>
          </cell>
        </row>
        <row r="337">
          <cell r="A337" t="str">
            <v>26000</v>
          </cell>
          <cell r="B337" t="str">
            <v>COMBUSTIBLES, LUBRICANTES Y ADITIVOS</v>
          </cell>
          <cell r="C337" t="str">
            <v>03</v>
          </cell>
          <cell r="F337">
            <v>1647388.49</v>
          </cell>
          <cell r="V337">
            <v>958478.76</v>
          </cell>
        </row>
        <row r="338">
          <cell r="A338" t="str">
            <v>26100</v>
          </cell>
          <cell r="B338" t="str">
            <v xml:space="preserve">  Combustibles, lubricantes y aditivos</v>
          </cell>
          <cell r="C338" t="str">
            <v>03</v>
          </cell>
          <cell r="F338">
            <v>1647388.49</v>
          </cell>
          <cell r="V338">
            <v>958478.76</v>
          </cell>
        </row>
        <row r="339">
          <cell r="A339" t="str">
            <v>26101</v>
          </cell>
          <cell r="B339" t="str">
            <v xml:space="preserve">  Combustible de Equipo de Transporte</v>
          </cell>
          <cell r="C339" t="str">
            <v>03</v>
          </cell>
          <cell r="F339">
            <v>1346678.29</v>
          </cell>
          <cell r="V339">
            <v>672163.44</v>
          </cell>
        </row>
        <row r="340">
          <cell r="A340" t="str">
            <v>26102</v>
          </cell>
          <cell r="B340" t="str">
            <v xml:space="preserve">  Lubricantes y Aditivos Equipo de Transporte</v>
          </cell>
          <cell r="C340" t="str">
            <v>03</v>
          </cell>
          <cell r="F340">
            <v>34274.46</v>
          </cell>
          <cell r="V340">
            <v>33616.800000000003</v>
          </cell>
        </row>
        <row r="341">
          <cell r="A341" t="str">
            <v>26111</v>
          </cell>
          <cell r="B341" t="str">
            <v xml:space="preserve">  Combustible, Maquinaria y Equipo</v>
          </cell>
          <cell r="C341" t="str">
            <v>03</v>
          </cell>
          <cell r="F341">
            <v>237854.94</v>
          </cell>
          <cell r="V341">
            <v>237695.28</v>
          </cell>
        </row>
        <row r="342">
          <cell r="A342" t="str">
            <v>26112</v>
          </cell>
          <cell r="B342" t="str">
            <v xml:space="preserve">  Lubricantes y Aditivos Maquinaria y Equipo</v>
          </cell>
          <cell r="C342" t="str">
            <v>03</v>
          </cell>
          <cell r="F342">
            <v>28580.799999999999</v>
          </cell>
          <cell r="V342">
            <v>15003.24</v>
          </cell>
        </row>
        <row r="343">
          <cell r="A343" t="str">
            <v>27000</v>
          </cell>
          <cell r="B343" t="str">
            <v>VESTUARIO, BLANCOS, PRENDAS DE PROTECCIÓN Y ARTÍCULOS DEPORTIVOS</v>
          </cell>
          <cell r="C343" t="str">
            <v>03</v>
          </cell>
          <cell r="F343">
            <v>500690.65</v>
          </cell>
          <cell r="V343">
            <v>347037.42</v>
          </cell>
        </row>
        <row r="344">
          <cell r="A344" t="str">
            <v>27100</v>
          </cell>
          <cell r="B344" t="str">
            <v xml:space="preserve">  Vestuario y uniformes</v>
          </cell>
          <cell r="C344" t="str">
            <v>03</v>
          </cell>
          <cell r="F344">
            <v>464877.73</v>
          </cell>
          <cell r="V344">
            <v>314265.58</v>
          </cell>
        </row>
        <row r="345">
          <cell r="A345" t="str">
            <v>27101</v>
          </cell>
          <cell r="B345" t="str">
            <v xml:space="preserve">  Vestuario y uniformes</v>
          </cell>
          <cell r="C345" t="str">
            <v>03</v>
          </cell>
          <cell r="F345">
            <v>464877.73</v>
          </cell>
          <cell r="V345">
            <v>314265.58</v>
          </cell>
        </row>
        <row r="346">
          <cell r="A346" t="str">
            <v>27200</v>
          </cell>
          <cell r="B346" t="str">
            <v xml:space="preserve">  Prendas de seguridad y protección personal</v>
          </cell>
          <cell r="C346" t="str">
            <v>03</v>
          </cell>
          <cell r="F346">
            <v>34540.42</v>
          </cell>
          <cell r="V346">
            <v>32771.839999999997</v>
          </cell>
        </row>
        <row r="347">
          <cell r="A347" t="str">
            <v>27201</v>
          </cell>
          <cell r="B347" t="str">
            <v xml:space="preserve">  Prendas de seguridad y protección personal</v>
          </cell>
          <cell r="C347" t="str">
            <v>03</v>
          </cell>
          <cell r="F347">
            <v>34540.42</v>
          </cell>
          <cell r="V347">
            <v>32771.839999999997</v>
          </cell>
        </row>
        <row r="348">
          <cell r="A348" t="str">
            <v>27400</v>
          </cell>
          <cell r="B348" t="str">
            <v xml:space="preserve">  Productos textiles</v>
          </cell>
          <cell r="C348" t="str">
            <v>03</v>
          </cell>
          <cell r="F348">
            <v>1272.5</v>
          </cell>
          <cell r="V348">
            <v>0</v>
          </cell>
        </row>
        <row r="349">
          <cell r="A349" t="str">
            <v>27401</v>
          </cell>
          <cell r="B349" t="str">
            <v xml:space="preserve">  Productos textiles</v>
          </cell>
          <cell r="C349" t="str">
            <v>03</v>
          </cell>
          <cell r="F349">
            <v>1272.5</v>
          </cell>
          <cell r="V349">
            <v>0</v>
          </cell>
        </row>
        <row r="350">
          <cell r="A350" t="str">
            <v>29000</v>
          </cell>
          <cell r="B350" t="str">
            <v>HERRAMIENTAS, REFACCIONES Y ACCESORIOS MENORES</v>
          </cell>
          <cell r="C350" t="str">
            <v>03</v>
          </cell>
          <cell r="F350">
            <v>2052079.16</v>
          </cell>
          <cell r="V350">
            <v>1342734.12</v>
          </cell>
        </row>
        <row r="351">
          <cell r="A351" t="str">
            <v>29100</v>
          </cell>
          <cell r="B351" t="str">
            <v xml:space="preserve">  Herramientas menores</v>
          </cell>
          <cell r="C351" t="str">
            <v>03</v>
          </cell>
          <cell r="F351">
            <v>185476.44</v>
          </cell>
          <cell r="V351">
            <v>127303.55</v>
          </cell>
        </row>
        <row r="352">
          <cell r="A352" t="str">
            <v>29101</v>
          </cell>
          <cell r="B352" t="str">
            <v xml:space="preserve">  Herramientas menores</v>
          </cell>
          <cell r="C352" t="str">
            <v>03</v>
          </cell>
          <cell r="F352">
            <v>185476.44</v>
          </cell>
          <cell r="V352">
            <v>127303.55</v>
          </cell>
        </row>
        <row r="353">
          <cell r="A353" t="str">
            <v>29600</v>
          </cell>
          <cell r="B353" t="str">
            <v xml:space="preserve">  Refacciones y accesorios menores de equipo de transporte</v>
          </cell>
          <cell r="C353" t="str">
            <v>03</v>
          </cell>
          <cell r="F353">
            <v>297866.12</v>
          </cell>
          <cell r="V353">
            <v>203323.96</v>
          </cell>
        </row>
        <row r="354">
          <cell r="A354" t="str">
            <v>29601</v>
          </cell>
          <cell r="B354" t="str">
            <v xml:space="preserve">  Refacciones y accesorios menores de equipo de transporte</v>
          </cell>
          <cell r="C354" t="str">
            <v>03</v>
          </cell>
          <cell r="F354">
            <v>297866.12</v>
          </cell>
          <cell r="V354">
            <v>203323.96</v>
          </cell>
        </row>
        <row r="355">
          <cell r="A355" t="str">
            <v>29800</v>
          </cell>
          <cell r="B355" t="str">
            <v xml:space="preserve">  Refacciones y accesorios menores de maquinaria y otros equipos</v>
          </cell>
          <cell r="C355" t="str">
            <v>03</v>
          </cell>
          <cell r="F355">
            <v>1568736.6</v>
          </cell>
          <cell r="V355">
            <v>1012106.61</v>
          </cell>
        </row>
        <row r="356">
          <cell r="A356" t="str">
            <v>29801</v>
          </cell>
          <cell r="B356" t="str">
            <v xml:space="preserve">  Refacciones y accesorios menores de maquinaria y otros equipos</v>
          </cell>
          <cell r="C356" t="str">
            <v>03</v>
          </cell>
          <cell r="F356">
            <v>1568736.6</v>
          </cell>
          <cell r="V356">
            <v>1012106.61</v>
          </cell>
        </row>
        <row r="357">
          <cell r="A357" t="str">
            <v>30000</v>
          </cell>
          <cell r="B357" t="str">
            <v>SERVICIOS GENERALES</v>
          </cell>
          <cell r="C357" t="str">
            <v>03</v>
          </cell>
          <cell r="F357">
            <v>11739107.390000001</v>
          </cell>
          <cell r="V357">
            <v>8006360.0800000001</v>
          </cell>
        </row>
        <row r="358">
          <cell r="A358" t="str">
            <v>31000</v>
          </cell>
          <cell r="B358" t="str">
            <v>SERVICIOS BÁSICOS</v>
          </cell>
          <cell r="C358" t="str">
            <v>03</v>
          </cell>
          <cell r="F358">
            <v>7897316.71</v>
          </cell>
          <cell r="V358">
            <v>5226624.8499999996</v>
          </cell>
        </row>
        <row r="359">
          <cell r="A359" t="str">
            <v>31100</v>
          </cell>
          <cell r="B359" t="str">
            <v xml:space="preserve">  Energía eléctrica</v>
          </cell>
          <cell r="C359" t="str">
            <v>03</v>
          </cell>
          <cell r="F359">
            <v>7723718.4699999997</v>
          </cell>
          <cell r="V359">
            <v>5072694.93</v>
          </cell>
        </row>
        <row r="360">
          <cell r="A360" t="str">
            <v>31101</v>
          </cell>
          <cell r="B360" t="str">
            <v xml:space="preserve">  Energía eléctrica</v>
          </cell>
          <cell r="C360" t="str">
            <v>03</v>
          </cell>
          <cell r="F360">
            <v>7723718.4699999997</v>
          </cell>
          <cell r="V360">
            <v>5072694.93</v>
          </cell>
        </row>
        <row r="361">
          <cell r="A361" t="str">
            <v>31200</v>
          </cell>
          <cell r="B361" t="str">
            <v xml:space="preserve">  Gas</v>
          </cell>
          <cell r="C361" t="str">
            <v>03</v>
          </cell>
          <cell r="F361">
            <v>9363</v>
          </cell>
          <cell r="V361">
            <v>8373.57</v>
          </cell>
        </row>
        <row r="362">
          <cell r="A362" t="str">
            <v>31201</v>
          </cell>
          <cell r="B362" t="str">
            <v xml:space="preserve">  Gas</v>
          </cell>
          <cell r="C362" t="str">
            <v>03</v>
          </cell>
          <cell r="F362">
            <v>9363</v>
          </cell>
          <cell r="V362">
            <v>8373.57</v>
          </cell>
        </row>
        <row r="363">
          <cell r="A363" t="str">
            <v>31300</v>
          </cell>
          <cell r="B363" t="str">
            <v xml:space="preserve">  Agua</v>
          </cell>
          <cell r="C363" t="str">
            <v>03</v>
          </cell>
          <cell r="F363">
            <v>151612.63</v>
          </cell>
          <cell r="V363">
            <v>143618.98000000001</v>
          </cell>
        </row>
        <row r="364">
          <cell r="A364" t="str">
            <v>31301</v>
          </cell>
          <cell r="B364" t="str">
            <v xml:space="preserve">  Agua</v>
          </cell>
          <cell r="C364" t="str">
            <v>03</v>
          </cell>
          <cell r="F364">
            <v>151612.63</v>
          </cell>
          <cell r="V364">
            <v>143618.98000000001</v>
          </cell>
        </row>
        <row r="365">
          <cell r="A365" t="str">
            <v>31500</v>
          </cell>
          <cell r="B365" t="str">
            <v xml:space="preserve">  Telefonía celular</v>
          </cell>
          <cell r="C365" t="str">
            <v>03</v>
          </cell>
          <cell r="F365">
            <v>12622.61</v>
          </cell>
          <cell r="V365">
            <v>1937.37</v>
          </cell>
        </row>
        <row r="366">
          <cell r="A366" t="str">
            <v>31501</v>
          </cell>
          <cell r="B366" t="str">
            <v xml:space="preserve">  Telefonía celular</v>
          </cell>
          <cell r="C366" t="str">
            <v>03</v>
          </cell>
          <cell r="F366">
            <v>12622.61</v>
          </cell>
          <cell r="V366">
            <v>1937.37</v>
          </cell>
        </row>
        <row r="367">
          <cell r="A367" t="str">
            <v>33000</v>
          </cell>
          <cell r="B367" t="str">
            <v>SERVICIOS PROFESIONALES, CIENTÍFICOS, TÉCNICOS Y OTROS SERVICIOS</v>
          </cell>
          <cell r="C367" t="str">
            <v>03</v>
          </cell>
          <cell r="F367">
            <v>303771.08</v>
          </cell>
          <cell r="V367">
            <v>27575</v>
          </cell>
        </row>
        <row r="368">
          <cell r="A368" t="str">
            <v>33600</v>
          </cell>
          <cell r="B368" t="str">
            <v xml:space="preserve">  Servicios de apoyo administrativo, traducción, fotocopiado e impresión</v>
          </cell>
          <cell r="C368" t="str">
            <v>03</v>
          </cell>
          <cell r="F368">
            <v>27575</v>
          </cell>
          <cell r="V368">
            <v>27575</v>
          </cell>
        </row>
        <row r="369">
          <cell r="A369" t="str">
            <v>33601</v>
          </cell>
          <cell r="B369" t="str">
            <v xml:space="preserve">  Servicios de apoyo administrativo, fotocopiado e impresión</v>
          </cell>
          <cell r="C369" t="str">
            <v>03</v>
          </cell>
          <cell r="F369">
            <v>27575</v>
          </cell>
          <cell r="V369">
            <v>27575</v>
          </cell>
        </row>
        <row r="370">
          <cell r="A370" t="str">
            <v>33900</v>
          </cell>
          <cell r="B370" t="str">
            <v xml:space="preserve">  Servicios profesionales, científicos y técnicos integrales</v>
          </cell>
          <cell r="C370" t="str">
            <v>03</v>
          </cell>
          <cell r="F370">
            <v>276196.08</v>
          </cell>
          <cell r="V370">
            <v>0</v>
          </cell>
        </row>
        <row r="371">
          <cell r="A371" t="str">
            <v>33902</v>
          </cell>
          <cell r="B371" t="str">
            <v xml:space="preserve">  Reparación y Mantenimiento de Equipo de Bombeo</v>
          </cell>
          <cell r="C371" t="str">
            <v>03</v>
          </cell>
          <cell r="F371">
            <v>276196.08</v>
          </cell>
          <cell r="V371">
            <v>0</v>
          </cell>
        </row>
        <row r="372">
          <cell r="A372" t="str">
            <v>34000</v>
          </cell>
          <cell r="B372" t="str">
            <v>SERVICIOS FINANCIEROS, BANCARIOS Y COMERCIALES</v>
          </cell>
          <cell r="C372" t="str">
            <v>03</v>
          </cell>
          <cell r="F372">
            <v>1296132.58</v>
          </cell>
          <cell r="V372">
            <v>998822.98</v>
          </cell>
        </row>
        <row r="373">
          <cell r="A373" t="str">
            <v>34500</v>
          </cell>
          <cell r="B373" t="str">
            <v xml:space="preserve">  Seguro de bienes patrimoniales</v>
          </cell>
          <cell r="C373" t="str">
            <v>03</v>
          </cell>
          <cell r="F373">
            <v>1296132.58</v>
          </cell>
          <cell r="V373">
            <v>998822.98</v>
          </cell>
        </row>
        <row r="374">
          <cell r="A374" t="str">
            <v>34501</v>
          </cell>
          <cell r="B374" t="str">
            <v xml:space="preserve">  Seguro de bienes patrimoniales</v>
          </cell>
          <cell r="C374" t="str">
            <v>03</v>
          </cell>
          <cell r="F374">
            <v>1296132.58</v>
          </cell>
          <cell r="V374">
            <v>998822.98</v>
          </cell>
        </row>
        <row r="375">
          <cell r="A375" t="str">
            <v>35000</v>
          </cell>
          <cell r="B375" t="str">
            <v>SERVICIOS DE INSTALACIÓN, REPARACIÓN, MANTENIMIENTO Y CONSERVACIÓN</v>
          </cell>
          <cell r="C375" t="str">
            <v>03</v>
          </cell>
          <cell r="F375">
            <v>864856.33</v>
          </cell>
          <cell r="V375">
            <v>642528.66</v>
          </cell>
        </row>
        <row r="376">
          <cell r="A376" t="str">
            <v>35100</v>
          </cell>
          <cell r="B376" t="str">
            <v xml:space="preserve">  Conservación y mantenimiento menor de inmuebles</v>
          </cell>
          <cell r="C376" t="str">
            <v>03</v>
          </cell>
          <cell r="F376">
            <v>31743.98</v>
          </cell>
          <cell r="V376">
            <v>0</v>
          </cell>
        </row>
        <row r="377">
          <cell r="A377" t="str">
            <v>35101</v>
          </cell>
          <cell r="B377" t="str">
            <v xml:space="preserve">  Conservación y mantenimiento menor de inmuebles</v>
          </cell>
          <cell r="C377" t="str">
            <v>03</v>
          </cell>
          <cell r="F377">
            <v>31743.98</v>
          </cell>
          <cell r="V377">
            <v>0</v>
          </cell>
        </row>
        <row r="378">
          <cell r="A378" t="str">
            <v>35500</v>
          </cell>
          <cell r="B378" t="str">
            <v xml:space="preserve">  Reparación y mantenimiento de equipo de transporte</v>
          </cell>
          <cell r="C378" t="str">
            <v>03</v>
          </cell>
          <cell r="F378">
            <v>160864.46</v>
          </cell>
          <cell r="V378">
            <v>156418.95000000001</v>
          </cell>
        </row>
        <row r="379">
          <cell r="A379" t="str">
            <v>35501</v>
          </cell>
          <cell r="B379" t="str">
            <v xml:space="preserve">  Reparación y mantenimiento de equipo de transporte</v>
          </cell>
          <cell r="C379" t="str">
            <v>03</v>
          </cell>
          <cell r="F379">
            <v>160864.46</v>
          </cell>
          <cell r="V379">
            <v>156418.95000000001</v>
          </cell>
        </row>
        <row r="380">
          <cell r="A380" t="str">
            <v>35700</v>
          </cell>
          <cell r="B380" t="str">
            <v xml:space="preserve">  Instalación, reparación y mantenimiento de maquinaria, otros equipos y herramienta</v>
          </cell>
          <cell r="C380" t="str">
            <v>03</v>
          </cell>
          <cell r="F380">
            <v>621642.82999999996</v>
          </cell>
          <cell r="V380">
            <v>444709.71</v>
          </cell>
        </row>
        <row r="381">
          <cell r="A381" t="str">
            <v>35701</v>
          </cell>
          <cell r="B381" t="str">
            <v xml:space="preserve">  Instalación, reparación y mantenimiento de maquinaria, otros equipos y herramienta</v>
          </cell>
          <cell r="C381" t="str">
            <v>03</v>
          </cell>
          <cell r="F381">
            <v>621642.82999999996</v>
          </cell>
          <cell r="V381">
            <v>444709.71</v>
          </cell>
        </row>
        <row r="382">
          <cell r="A382" t="str">
            <v>35900</v>
          </cell>
          <cell r="B382" t="str">
            <v xml:space="preserve">  Servicios de jardinería y fumigación</v>
          </cell>
          <cell r="C382" t="str">
            <v>03</v>
          </cell>
          <cell r="F382">
            <v>50605.06</v>
          </cell>
          <cell r="V382">
            <v>41400</v>
          </cell>
        </row>
        <row r="383">
          <cell r="A383" t="str">
            <v>35901</v>
          </cell>
          <cell r="B383" t="str">
            <v xml:space="preserve">  Servicios de jardinería y fumigación</v>
          </cell>
          <cell r="C383" t="str">
            <v>03</v>
          </cell>
          <cell r="F383">
            <v>50605.06</v>
          </cell>
          <cell r="V383">
            <v>41400</v>
          </cell>
        </row>
        <row r="384">
          <cell r="A384" t="str">
            <v>37000</v>
          </cell>
          <cell r="B384" t="str">
            <v>SERVICIOS DE TRASLADOS Y VIÁTICOS</v>
          </cell>
          <cell r="C384" t="str">
            <v>03</v>
          </cell>
          <cell r="F384">
            <v>95818.6</v>
          </cell>
          <cell r="V384">
            <v>93764.93</v>
          </cell>
        </row>
        <row r="385">
          <cell r="A385" t="str">
            <v>37500</v>
          </cell>
          <cell r="B385" t="str">
            <v xml:space="preserve">  Viáticos en el país</v>
          </cell>
          <cell r="C385" t="str">
            <v>03</v>
          </cell>
          <cell r="F385">
            <v>94631.41</v>
          </cell>
          <cell r="V385">
            <v>93764.93</v>
          </cell>
        </row>
        <row r="386">
          <cell r="A386" t="str">
            <v>37501</v>
          </cell>
          <cell r="B386" t="str">
            <v xml:space="preserve">  Viáticos en el país</v>
          </cell>
          <cell r="C386" t="str">
            <v>03</v>
          </cell>
          <cell r="F386">
            <v>15171.91</v>
          </cell>
          <cell r="V386">
            <v>15090.46</v>
          </cell>
        </row>
        <row r="387">
          <cell r="A387" t="str">
            <v>37502</v>
          </cell>
          <cell r="B387" t="str">
            <v xml:space="preserve">  Viaticos Consulta Medica</v>
          </cell>
          <cell r="C387" t="str">
            <v>03</v>
          </cell>
          <cell r="F387">
            <v>79459.5</v>
          </cell>
          <cell r="V387">
            <v>78674.47</v>
          </cell>
        </row>
        <row r="388">
          <cell r="A388" t="str">
            <v>37900</v>
          </cell>
          <cell r="B388" t="str">
            <v xml:space="preserve">  Otros servicios de traslado y hospedaje</v>
          </cell>
          <cell r="C388" t="str">
            <v>03</v>
          </cell>
          <cell r="F388">
            <v>1187.19</v>
          </cell>
          <cell r="V388">
            <v>0</v>
          </cell>
        </row>
        <row r="389">
          <cell r="A389" t="str">
            <v>37901</v>
          </cell>
          <cell r="B389" t="str">
            <v xml:space="preserve">  Otros servicios de traslado y hospedaje</v>
          </cell>
          <cell r="C389" t="str">
            <v>03</v>
          </cell>
          <cell r="F389">
            <v>1187.19</v>
          </cell>
          <cell r="V389">
            <v>0</v>
          </cell>
        </row>
        <row r="390">
          <cell r="A390" t="str">
            <v>39000</v>
          </cell>
          <cell r="B390" t="str">
            <v>OTROS SERVICIOS GENERALES</v>
          </cell>
          <cell r="C390" t="str">
            <v>03</v>
          </cell>
          <cell r="F390">
            <v>1281212.0900000001</v>
          </cell>
          <cell r="V390">
            <v>1017043.66</v>
          </cell>
        </row>
        <row r="391">
          <cell r="A391" t="str">
            <v>39200</v>
          </cell>
          <cell r="B391" t="str">
            <v xml:space="preserve">  Impuestos y derechos</v>
          </cell>
          <cell r="C391" t="str">
            <v>03</v>
          </cell>
          <cell r="F391">
            <v>1200000</v>
          </cell>
          <cell r="V391">
            <v>1017043.66</v>
          </cell>
        </row>
        <row r="392">
          <cell r="A392" t="str">
            <v>39201</v>
          </cell>
          <cell r="B392" t="str">
            <v xml:space="preserve">  Impuestos y derechos</v>
          </cell>
          <cell r="C392" t="str">
            <v>03</v>
          </cell>
          <cell r="F392">
            <v>1200000</v>
          </cell>
          <cell r="V392">
            <v>1017043.66</v>
          </cell>
        </row>
        <row r="393">
          <cell r="A393" t="str">
            <v>39900</v>
          </cell>
          <cell r="B393" t="str">
            <v xml:space="preserve">  Otros servicios generales</v>
          </cell>
          <cell r="C393" t="str">
            <v>03</v>
          </cell>
          <cell r="F393">
            <v>81212.09</v>
          </cell>
          <cell r="V393">
            <v>0</v>
          </cell>
        </row>
        <row r="394">
          <cell r="A394" t="str">
            <v>39901</v>
          </cell>
          <cell r="B394" t="str">
            <v xml:space="preserve">  Otros servicios generales</v>
          </cell>
          <cell r="C394" t="str">
            <v>03</v>
          </cell>
          <cell r="F394">
            <v>81212.09</v>
          </cell>
          <cell r="V394">
            <v>0</v>
          </cell>
        </row>
        <row r="395">
          <cell r="A395" t="str">
            <v>40000</v>
          </cell>
          <cell r="B395" t="str">
            <v>TRANSFERENCIAS, ASIGNACIONES, SUBSIDIOS Y OTRAS AYUDAS</v>
          </cell>
          <cell r="C395" t="str">
            <v>03</v>
          </cell>
          <cell r="F395">
            <v>1339043.68</v>
          </cell>
          <cell r="V395">
            <v>1005549.12</v>
          </cell>
        </row>
        <row r="396">
          <cell r="A396" t="str">
            <v>41000</v>
          </cell>
          <cell r="B396" t="str">
            <v>TRANSFERENCIAS INTERNAS Y ASIGNACIONES AL SECTOR PÚBLICO</v>
          </cell>
          <cell r="C396" t="str">
            <v>03</v>
          </cell>
          <cell r="F396">
            <v>1339043.68</v>
          </cell>
          <cell r="V396">
            <v>1005549.12</v>
          </cell>
        </row>
        <row r="397">
          <cell r="A397" t="str">
            <v>41500</v>
          </cell>
          <cell r="B397" t="str">
            <v xml:space="preserve">  Transferencias internas otorgadas a entidades paraestatales no empresariales y no financieras</v>
          </cell>
          <cell r="C397" t="str">
            <v>03</v>
          </cell>
          <cell r="F397">
            <v>1339043.68</v>
          </cell>
          <cell r="V397">
            <v>1005549.12</v>
          </cell>
        </row>
        <row r="398">
          <cell r="A398" t="str">
            <v>41503</v>
          </cell>
          <cell r="B398" t="str">
            <v xml:space="preserve">  Diferencial de servicio medico pensiones</v>
          </cell>
          <cell r="C398" t="str">
            <v>03</v>
          </cell>
          <cell r="F398">
            <v>1339043.68</v>
          </cell>
          <cell r="V398">
            <v>1005549.12</v>
          </cell>
        </row>
        <row r="399">
          <cell r="A399" t="str">
            <v>50000</v>
          </cell>
          <cell r="B399" t="str">
            <v>BIENES MUEBLES, INMUEBLES E INTANGIBLES</v>
          </cell>
          <cell r="C399" t="str">
            <v>03</v>
          </cell>
          <cell r="F399">
            <v>435000</v>
          </cell>
          <cell r="V399">
            <v>335202.2</v>
          </cell>
        </row>
        <row r="400">
          <cell r="A400" t="str">
            <v>56000</v>
          </cell>
          <cell r="B400" t="str">
            <v>MAQUINARIA, OTROS EQUIPOS Y HERRAMIENTAS</v>
          </cell>
          <cell r="C400" t="str">
            <v>03</v>
          </cell>
          <cell r="F400">
            <v>360000</v>
          </cell>
          <cell r="V400">
            <v>335202.2</v>
          </cell>
        </row>
        <row r="401">
          <cell r="A401" t="str">
            <v>56700</v>
          </cell>
          <cell r="B401" t="str">
            <v xml:space="preserve">  Herramientas y máquinas-herramienta</v>
          </cell>
          <cell r="C401" t="str">
            <v>03</v>
          </cell>
          <cell r="F401">
            <v>360000</v>
          </cell>
          <cell r="V401">
            <v>335202.2</v>
          </cell>
        </row>
        <row r="402">
          <cell r="A402" t="str">
            <v>56701</v>
          </cell>
          <cell r="B402" t="str">
            <v xml:space="preserve">  Herramientas y máquinas-herramienta</v>
          </cell>
          <cell r="C402" t="str">
            <v>03</v>
          </cell>
          <cell r="F402">
            <v>360000</v>
          </cell>
          <cell r="V402">
            <v>335202.2</v>
          </cell>
        </row>
        <row r="403">
          <cell r="A403" t="str">
            <v>59000</v>
          </cell>
          <cell r="B403" t="str">
            <v>ACTIVOS INTANGIBLES</v>
          </cell>
          <cell r="C403" t="str">
            <v>03</v>
          </cell>
          <cell r="F403">
            <v>75000</v>
          </cell>
          <cell r="V403">
            <v>0</v>
          </cell>
        </row>
        <row r="404">
          <cell r="A404" t="str">
            <v>59100</v>
          </cell>
          <cell r="B404" t="str">
            <v xml:space="preserve">  Software</v>
          </cell>
          <cell r="C404" t="str">
            <v>03</v>
          </cell>
          <cell r="F404">
            <v>75000</v>
          </cell>
          <cell r="V404">
            <v>0</v>
          </cell>
        </row>
        <row r="405">
          <cell r="A405" t="str">
            <v>59101</v>
          </cell>
          <cell r="B405" t="str">
            <v xml:space="preserve">  Software</v>
          </cell>
          <cell r="C405" t="str">
            <v>03</v>
          </cell>
          <cell r="F405">
            <v>75000</v>
          </cell>
          <cell r="V405">
            <v>0</v>
          </cell>
        </row>
        <row r="406">
          <cell r="A406" t="str">
            <v>60000</v>
          </cell>
          <cell r="B406" t="str">
            <v>INVERSIÓN PÚBLICA</v>
          </cell>
          <cell r="C406" t="str">
            <v>03</v>
          </cell>
          <cell r="F406">
            <v>11470708.75</v>
          </cell>
          <cell r="V406">
            <v>2411219.71</v>
          </cell>
        </row>
        <row r="407">
          <cell r="A407" t="str">
            <v>62000</v>
          </cell>
          <cell r="B407" t="str">
            <v>OBRA PÚBLICA EN BIENES PROPIOS</v>
          </cell>
          <cell r="C407" t="str">
            <v>03</v>
          </cell>
          <cell r="F407">
            <v>11470708.75</v>
          </cell>
          <cell r="V407">
            <v>2411219.71</v>
          </cell>
        </row>
        <row r="408">
          <cell r="A408" t="str">
            <v>62400</v>
          </cell>
          <cell r="B408" t="str">
            <v xml:space="preserve">  División de terrenos y construcción de obras de urbanización</v>
          </cell>
          <cell r="C408" t="str">
            <v>03</v>
          </cell>
          <cell r="F408">
            <v>11470708.75</v>
          </cell>
          <cell r="V408">
            <v>2411219.71</v>
          </cell>
        </row>
        <row r="409">
          <cell r="A409" t="str">
            <v>62401</v>
          </cell>
          <cell r="B409" t="str">
            <v xml:space="preserve">  División de terrenos y construcción de obras de urbanización</v>
          </cell>
          <cell r="C409" t="str">
            <v>03</v>
          </cell>
          <cell r="F409">
            <v>11470708.75</v>
          </cell>
          <cell r="V409">
            <v>2411219.71</v>
          </cell>
        </row>
        <row r="410">
          <cell r="A410" t="str">
            <v>10000</v>
          </cell>
          <cell r="B410" t="str">
            <v>SERVICIOS PERSONALES</v>
          </cell>
          <cell r="C410" t="str">
            <v>04</v>
          </cell>
          <cell r="F410">
            <v>1912502.81</v>
          </cell>
          <cell r="V410">
            <v>1004525.38</v>
          </cell>
        </row>
        <row r="411">
          <cell r="A411" t="str">
            <v>11000</v>
          </cell>
          <cell r="B411" t="str">
            <v>REMUNERACIONES AL PERSONAL DE CARÁCTER PERMANENTE</v>
          </cell>
          <cell r="C411" t="str">
            <v>04</v>
          </cell>
          <cell r="F411">
            <v>841381.32</v>
          </cell>
          <cell r="V411">
            <v>569758.44999999995</v>
          </cell>
        </row>
        <row r="412">
          <cell r="A412" t="str">
            <v>11300</v>
          </cell>
          <cell r="B412" t="str">
            <v xml:space="preserve">  Sueldos base al personal permanente</v>
          </cell>
          <cell r="C412" t="str">
            <v>04</v>
          </cell>
          <cell r="F412">
            <v>841381.32</v>
          </cell>
          <cell r="V412">
            <v>569758.44999999995</v>
          </cell>
        </row>
        <row r="413">
          <cell r="A413" t="str">
            <v>11301</v>
          </cell>
          <cell r="B413" t="str">
            <v xml:space="preserve">  Sueldos base al personal permanente</v>
          </cell>
          <cell r="C413" t="str">
            <v>04</v>
          </cell>
          <cell r="F413">
            <v>841381.32</v>
          </cell>
          <cell r="V413">
            <v>569758.44999999995</v>
          </cell>
        </row>
        <row r="414">
          <cell r="A414" t="str">
            <v>12000</v>
          </cell>
          <cell r="B414" t="str">
            <v>REMUNERACIONES AL PERSONAL DE CARÁCTER TRANSITORIO</v>
          </cell>
          <cell r="C414" t="str">
            <v>04</v>
          </cell>
          <cell r="F414">
            <v>139765.29999999999</v>
          </cell>
          <cell r="V414">
            <v>79141.67</v>
          </cell>
        </row>
        <row r="415">
          <cell r="A415" t="str">
            <v>12200</v>
          </cell>
          <cell r="B415" t="str">
            <v xml:space="preserve">  Sueldos base al personal eventual</v>
          </cell>
          <cell r="C415" t="str">
            <v>04</v>
          </cell>
          <cell r="F415">
            <v>139765.29999999999</v>
          </cell>
          <cell r="V415">
            <v>79141.67</v>
          </cell>
        </row>
        <row r="416">
          <cell r="A416" t="str">
            <v>12201</v>
          </cell>
          <cell r="B416" t="str">
            <v xml:space="preserve">  Sueldos base al personal eventual</v>
          </cell>
          <cell r="C416" t="str">
            <v>04</v>
          </cell>
          <cell r="F416">
            <v>139765.29999999999</v>
          </cell>
          <cell r="V416">
            <v>79141.67</v>
          </cell>
        </row>
        <row r="417">
          <cell r="A417" t="str">
            <v>13000</v>
          </cell>
          <cell r="B417" t="str">
            <v>REMUNERACIONES ADICIONALES Y ESPECIALES</v>
          </cell>
          <cell r="C417" t="str">
            <v>04</v>
          </cell>
          <cell r="F417">
            <v>450474.72</v>
          </cell>
          <cell r="V417">
            <v>73327.679999999993</v>
          </cell>
        </row>
        <row r="418">
          <cell r="A418" t="str">
            <v>13200</v>
          </cell>
          <cell r="B418" t="str">
            <v xml:space="preserve">  Primas de vacaciones, dominical y gratificación de fin de año</v>
          </cell>
          <cell r="C418" t="str">
            <v>04</v>
          </cell>
          <cell r="F418">
            <v>210193.76</v>
          </cell>
          <cell r="V418">
            <v>37431.519999999997</v>
          </cell>
        </row>
        <row r="419">
          <cell r="A419" t="str">
            <v>13201</v>
          </cell>
          <cell r="B419" t="str">
            <v xml:space="preserve">  Gratificación anual</v>
          </cell>
          <cell r="C419" t="str">
            <v>04</v>
          </cell>
          <cell r="F419">
            <v>127546.2</v>
          </cell>
          <cell r="V419">
            <v>0</v>
          </cell>
        </row>
        <row r="420">
          <cell r="A420" t="str">
            <v>13202</v>
          </cell>
          <cell r="B420" t="str">
            <v xml:space="preserve">  Prima Vacacional</v>
          </cell>
          <cell r="C420" t="str">
            <v>04</v>
          </cell>
          <cell r="F420">
            <v>82647.56</v>
          </cell>
          <cell r="V420">
            <v>37431.519999999997</v>
          </cell>
        </row>
        <row r="421">
          <cell r="A421" t="str">
            <v>13300</v>
          </cell>
          <cell r="B421" t="str">
            <v xml:space="preserve">  Horas extraordinarias</v>
          </cell>
          <cell r="C421" t="str">
            <v>04</v>
          </cell>
          <cell r="F421">
            <v>193100.08</v>
          </cell>
          <cell r="V421">
            <v>8864.16</v>
          </cell>
        </row>
        <row r="422">
          <cell r="A422" t="str">
            <v>13301</v>
          </cell>
          <cell r="B422" t="str">
            <v xml:space="preserve">  Horas extraordinarias</v>
          </cell>
          <cell r="C422" t="str">
            <v>04</v>
          </cell>
          <cell r="F422">
            <v>12900.08</v>
          </cell>
          <cell r="V422">
            <v>8864.16</v>
          </cell>
        </row>
        <row r="423">
          <cell r="A423" t="str">
            <v>13302</v>
          </cell>
          <cell r="B423" t="str">
            <v xml:space="preserve">  Vacaciones Pagadas</v>
          </cell>
          <cell r="C423" t="str">
            <v>04</v>
          </cell>
          <cell r="F423">
            <v>180200</v>
          </cell>
          <cell r="V423">
            <v>0</v>
          </cell>
        </row>
        <row r="424">
          <cell r="A424" t="str">
            <v>13400</v>
          </cell>
          <cell r="B424" t="str">
            <v xml:space="preserve">  Compensaciones</v>
          </cell>
          <cell r="C424" t="str">
            <v>04</v>
          </cell>
          <cell r="F424">
            <v>47180.88</v>
          </cell>
          <cell r="V424">
            <v>27032</v>
          </cell>
        </row>
        <row r="425">
          <cell r="A425" t="str">
            <v>13401</v>
          </cell>
          <cell r="B425" t="str">
            <v xml:space="preserve">  Compensaciones</v>
          </cell>
          <cell r="C425" t="str">
            <v>04</v>
          </cell>
          <cell r="F425">
            <v>45180.88</v>
          </cell>
          <cell r="V425">
            <v>27032</v>
          </cell>
        </row>
        <row r="426">
          <cell r="A426" t="str">
            <v>13403</v>
          </cell>
          <cell r="B426" t="str">
            <v xml:space="preserve">  Bono Complementario</v>
          </cell>
          <cell r="C426" t="str">
            <v>04</v>
          </cell>
          <cell r="F426">
            <v>2000</v>
          </cell>
          <cell r="V426">
            <v>0</v>
          </cell>
        </row>
        <row r="427">
          <cell r="A427" t="str">
            <v>14000</v>
          </cell>
          <cell r="B427" t="str">
            <v>SEGURIDAD SOCIAL</v>
          </cell>
          <cell r="C427" t="str">
            <v>04</v>
          </cell>
          <cell r="F427">
            <v>256603.11</v>
          </cell>
          <cell r="V427">
            <v>153447.04000000001</v>
          </cell>
        </row>
        <row r="428">
          <cell r="A428" t="str">
            <v>14100</v>
          </cell>
          <cell r="B428" t="str">
            <v xml:space="preserve">  Aportaciones de seguridad social</v>
          </cell>
          <cell r="C428" t="str">
            <v>04</v>
          </cell>
          <cell r="F428">
            <v>15916.46</v>
          </cell>
          <cell r="V428">
            <v>9517.92</v>
          </cell>
        </row>
        <row r="429">
          <cell r="A429" t="str">
            <v>14101</v>
          </cell>
          <cell r="B429" t="str">
            <v xml:space="preserve">  Aportaciones a Pensiones</v>
          </cell>
          <cell r="C429" t="str">
            <v>04</v>
          </cell>
          <cell r="F429">
            <v>15916.46</v>
          </cell>
          <cell r="V429">
            <v>9517.92</v>
          </cell>
        </row>
        <row r="430">
          <cell r="A430" t="str">
            <v>14300</v>
          </cell>
          <cell r="B430" t="str">
            <v xml:space="preserve">  Aportaciones al sistema para el retiro</v>
          </cell>
          <cell r="C430" t="str">
            <v>04</v>
          </cell>
          <cell r="F430">
            <v>240686.65</v>
          </cell>
          <cell r="V430">
            <v>143929.12</v>
          </cell>
        </row>
        <row r="431">
          <cell r="A431" t="str">
            <v>14301</v>
          </cell>
          <cell r="B431" t="str">
            <v xml:space="preserve">  Aportaciones para el fondo propio</v>
          </cell>
          <cell r="C431" t="str">
            <v>04</v>
          </cell>
          <cell r="F431">
            <v>240686.65</v>
          </cell>
          <cell r="V431">
            <v>143929.12</v>
          </cell>
        </row>
        <row r="432">
          <cell r="A432" t="str">
            <v>15000</v>
          </cell>
          <cell r="B432" t="str">
            <v>OTRAS PRESTACIONES SOCIALES Y ECONÓMICAS</v>
          </cell>
          <cell r="C432" t="str">
            <v>04</v>
          </cell>
          <cell r="F432">
            <v>224278.36</v>
          </cell>
          <cell r="V432">
            <v>128850.54</v>
          </cell>
        </row>
        <row r="433">
          <cell r="A433" t="str">
            <v>15400</v>
          </cell>
          <cell r="B433" t="str">
            <v xml:space="preserve">  Prestaciones contractuales</v>
          </cell>
          <cell r="C433" t="str">
            <v>04</v>
          </cell>
          <cell r="F433">
            <v>224278.36</v>
          </cell>
          <cell r="V433">
            <v>128850.54</v>
          </cell>
        </row>
        <row r="434">
          <cell r="A434" t="str">
            <v>15401</v>
          </cell>
          <cell r="B434" t="str">
            <v xml:space="preserve">  Ayuda para lentes</v>
          </cell>
          <cell r="C434" t="str">
            <v>04</v>
          </cell>
          <cell r="F434">
            <v>5600</v>
          </cell>
          <cell r="V434">
            <v>0</v>
          </cell>
        </row>
        <row r="435">
          <cell r="A435" t="str">
            <v>15404</v>
          </cell>
          <cell r="B435" t="str">
            <v xml:space="preserve">  Despensa</v>
          </cell>
          <cell r="C435" t="str">
            <v>04</v>
          </cell>
          <cell r="F435">
            <v>178503.21</v>
          </cell>
          <cell r="V435">
            <v>107350.31</v>
          </cell>
        </row>
        <row r="436">
          <cell r="A436" t="str">
            <v>15407</v>
          </cell>
          <cell r="B436" t="str">
            <v xml:space="preserve">  Aguabono</v>
          </cell>
          <cell r="C436" t="str">
            <v>04</v>
          </cell>
          <cell r="F436">
            <v>31520.16</v>
          </cell>
          <cell r="V436">
            <v>17620</v>
          </cell>
        </row>
        <row r="437">
          <cell r="A437" t="str">
            <v>15408</v>
          </cell>
          <cell r="B437" t="str">
            <v xml:space="preserve">  2% Sobre Sueldo</v>
          </cell>
          <cell r="C437" t="str">
            <v>04</v>
          </cell>
          <cell r="F437">
            <v>8654.99</v>
          </cell>
          <cell r="V437">
            <v>3880.23</v>
          </cell>
        </row>
        <row r="438">
          <cell r="A438" t="str">
            <v>20000</v>
          </cell>
          <cell r="B438" t="str">
            <v>MATERIALES Y SUMINISTROS</v>
          </cell>
          <cell r="C438" t="str">
            <v>04</v>
          </cell>
          <cell r="F438">
            <v>1474968.04</v>
          </cell>
          <cell r="V438">
            <v>555226.37</v>
          </cell>
        </row>
        <row r="439">
          <cell r="A439" t="str">
            <v>22000</v>
          </cell>
          <cell r="B439" t="str">
            <v>ALIMENTOS Y UTENSILIOS</v>
          </cell>
          <cell r="C439" t="str">
            <v>04</v>
          </cell>
          <cell r="F439">
            <v>1500</v>
          </cell>
          <cell r="V439">
            <v>0</v>
          </cell>
        </row>
        <row r="440">
          <cell r="A440" t="str">
            <v>22100</v>
          </cell>
          <cell r="B440" t="str">
            <v xml:space="preserve">  Productos alimenticios para personas</v>
          </cell>
          <cell r="C440" t="str">
            <v>04</v>
          </cell>
          <cell r="F440">
            <v>1500</v>
          </cell>
          <cell r="V440">
            <v>0</v>
          </cell>
        </row>
        <row r="441">
          <cell r="A441" t="str">
            <v>22101</v>
          </cell>
          <cell r="B441" t="str">
            <v xml:space="preserve">  Productos alimenticios para personas</v>
          </cell>
          <cell r="C441" t="str">
            <v>04</v>
          </cell>
          <cell r="F441">
            <v>1500</v>
          </cell>
          <cell r="V441">
            <v>0</v>
          </cell>
        </row>
        <row r="442">
          <cell r="A442" t="str">
            <v>24000</v>
          </cell>
          <cell r="B442" t="str">
            <v>MATERIALES Y ARTÍCULOS DE CONSTRUCCIÓN Y DE REPARACIÓN</v>
          </cell>
          <cell r="C442" t="str">
            <v>04</v>
          </cell>
          <cell r="F442">
            <v>78400.27</v>
          </cell>
          <cell r="V442">
            <v>18069.36</v>
          </cell>
        </row>
        <row r="443">
          <cell r="A443" t="str">
            <v>24200</v>
          </cell>
          <cell r="B443" t="str">
            <v xml:space="preserve">  Cemento y productos de concreto</v>
          </cell>
          <cell r="C443" t="str">
            <v>04</v>
          </cell>
          <cell r="F443">
            <v>12000</v>
          </cell>
          <cell r="V443">
            <v>0</v>
          </cell>
        </row>
        <row r="444">
          <cell r="A444" t="str">
            <v>24201</v>
          </cell>
          <cell r="B444" t="str">
            <v xml:space="preserve">  Cemento y productos de concreto</v>
          </cell>
          <cell r="C444" t="str">
            <v>04</v>
          </cell>
          <cell r="F444">
            <v>12000</v>
          </cell>
          <cell r="V444">
            <v>0</v>
          </cell>
        </row>
        <row r="445">
          <cell r="A445" t="str">
            <v>24400</v>
          </cell>
          <cell r="B445" t="str">
            <v xml:space="preserve">  Madera y productos de madera</v>
          </cell>
          <cell r="C445" t="str">
            <v>04</v>
          </cell>
          <cell r="F445">
            <v>1000</v>
          </cell>
          <cell r="V445">
            <v>0</v>
          </cell>
        </row>
        <row r="446">
          <cell r="A446" t="str">
            <v>24401</v>
          </cell>
          <cell r="B446" t="str">
            <v xml:space="preserve">  Madera y productos de madera</v>
          </cell>
          <cell r="C446" t="str">
            <v>04</v>
          </cell>
          <cell r="F446">
            <v>1000</v>
          </cell>
          <cell r="V446">
            <v>0</v>
          </cell>
        </row>
        <row r="447">
          <cell r="A447" t="str">
            <v>24600</v>
          </cell>
          <cell r="B447" t="str">
            <v xml:space="preserve">  Material eléctrico y electrónico</v>
          </cell>
          <cell r="C447" t="str">
            <v>04</v>
          </cell>
          <cell r="F447">
            <v>17046.169999999998</v>
          </cell>
          <cell r="V447">
            <v>13896.99</v>
          </cell>
        </row>
        <row r="448">
          <cell r="A448" t="str">
            <v>24601</v>
          </cell>
          <cell r="B448" t="str">
            <v xml:space="preserve">  Material eléctrico y electrónico</v>
          </cell>
          <cell r="C448" t="str">
            <v>04</v>
          </cell>
          <cell r="F448">
            <v>17046.169999999998</v>
          </cell>
          <cell r="V448">
            <v>13896.99</v>
          </cell>
        </row>
        <row r="449">
          <cell r="A449" t="str">
            <v>24700</v>
          </cell>
          <cell r="B449" t="str">
            <v xml:space="preserve">  Artículos metálicos para la construcción</v>
          </cell>
          <cell r="C449" t="str">
            <v>04</v>
          </cell>
          <cell r="F449">
            <v>12000</v>
          </cell>
          <cell r="V449">
            <v>2454.79</v>
          </cell>
        </row>
        <row r="450">
          <cell r="A450" t="str">
            <v>24701</v>
          </cell>
          <cell r="B450" t="str">
            <v xml:space="preserve">  Artículos metálicos para la construcción</v>
          </cell>
          <cell r="C450" t="str">
            <v>04</v>
          </cell>
          <cell r="F450">
            <v>12000</v>
          </cell>
          <cell r="V450">
            <v>2454.79</v>
          </cell>
        </row>
        <row r="451">
          <cell r="A451" t="str">
            <v>24800</v>
          </cell>
          <cell r="B451" t="str">
            <v xml:space="preserve">  Materiales complementarios</v>
          </cell>
          <cell r="C451" t="str">
            <v>04</v>
          </cell>
          <cell r="F451">
            <v>24000</v>
          </cell>
          <cell r="V451">
            <v>1111.8399999999999</v>
          </cell>
        </row>
        <row r="452">
          <cell r="A452" t="str">
            <v>24801</v>
          </cell>
          <cell r="B452" t="str">
            <v xml:space="preserve">  Materiales complementarios</v>
          </cell>
          <cell r="C452" t="str">
            <v>04</v>
          </cell>
          <cell r="F452">
            <v>24000</v>
          </cell>
          <cell r="V452">
            <v>1111.8399999999999</v>
          </cell>
        </row>
        <row r="453">
          <cell r="A453" t="str">
            <v>24900</v>
          </cell>
          <cell r="B453" t="str">
            <v xml:space="preserve">  Otros materiales y artículos de construcción y reparación</v>
          </cell>
          <cell r="C453" t="str">
            <v>04</v>
          </cell>
          <cell r="F453">
            <v>12354.1</v>
          </cell>
          <cell r="V453">
            <v>605.74</v>
          </cell>
        </row>
        <row r="454">
          <cell r="A454" t="str">
            <v>24901</v>
          </cell>
          <cell r="B454" t="str">
            <v xml:space="preserve">  Otros materiales y artículos de construcción y reparación</v>
          </cell>
          <cell r="C454" t="str">
            <v>04</v>
          </cell>
          <cell r="F454">
            <v>12354.1</v>
          </cell>
          <cell r="V454">
            <v>605.74</v>
          </cell>
        </row>
        <row r="455">
          <cell r="A455" t="str">
            <v>25000</v>
          </cell>
          <cell r="B455" t="str">
            <v>PRODUCTOS QUÍMICOS, FARMACÉUTICOS Y DE LABORATORIO</v>
          </cell>
          <cell r="C455" t="str">
            <v>04</v>
          </cell>
          <cell r="F455">
            <v>251721.13</v>
          </cell>
          <cell r="V455">
            <v>77823.13</v>
          </cell>
        </row>
        <row r="456">
          <cell r="A456" t="str">
            <v>25200</v>
          </cell>
          <cell r="B456" t="str">
            <v xml:space="preserve">  Fertilizantes, pesticidas y otros agroquímicos</v>
          </cell>
          <cell r="C456" t="str">
            <v>04</v>
          </cell>
          <cell r="F456">
            <v>5500</v>
          </cell>
          <cell r="V456">
            <v>0</v>
          </cell>
        </row>
        <row r="457">
          <cell r="A457" t="str">
            <v>25201</v>
          </cell>
          <cell r="B457" t="str">
            <v xml:space="preserve">  Fertilizantes, pesticidas y otros agroquímicos</v>
          </cell>
          <cell r="C457" t="str">
            <v>04</v>
          </cell>
          <cell r="F457">
            <v>5500</v>
          </cell>
          <cell r="V457">
            <v>0</v>
          </cell>
        </row>
        <row r="458">
          <cell r="A458" t="str">
            <v>25500</v>
          </cell>
          <cell r="B458" t="str">
            <v xml:space="preserve">  Materiales, accesorios y suministros de laboratorio</v>
          </cell>
          <cell r="C458" t="str">
            <v>04</v>
          </cell>
          <cell r="F458">
            <v>12000</v>
          </cell>
          <cell r="V458">
            <v>0</v>
          </cell>
        </row>
        <row r="459">
          <cell r="A459" t="str">
            <v>25501</v>
          </cell>
          <cell r="B459" t="str">
            <v xml:space="preserve">  Materiales, accesorios y suministros de laboratorio</v>
          </cell>
          <cell r="C459" t="str">
            <v>04</v>
          </cell>
          <cell r="F459">
            <v>12000</v>
          </cell>
          <cell r="V459">
            <v>0</v>
          </cell>
        </row>
        <row r="460">
          <cell r="A460" t="str">
            <v>25600</v>
          </cell>
          <cell r="B460" t="str">
            <v xml:space="preserve">  Fibras sintéticas, hules, plásticos y derivados</v>
          </cell>
          <cell r="C460" t="str">
            <v>04</v>
          </cell>
          <cell r="F460">
            <v>2093.6</v>
          </cell>
          <cell r="V460">
            <v>685.13</v>
          </cell>
        </row>
        <row r="461">
          <cell r="A461" t="str">
            <v>25601</v>
          </cell>
          <cell r="B461" t="str">
            <v xml:space="preserve">  Fibras sintéticas, hules, plásticos y derivados (PVC)</v>
          </cell>
          <cell r="C461" t="str">
            <v>04</v>
          </cell>
          <cell r="F461">
            <v>2093.6</v>
          </cell>
          <cell r="V461">
            <v>685.13</v>
          </cell>
        </row>
        <row r="462">
          <cell r="A462" t="str">
            <v>25900</v>
          </cell>
          <cell r="B462" t="str">
            <v xml:space="preserve">  Otros productos químicos</v>
          </cell>
          <cell r="C462" t="str">
            <v>04</v>
          </cell>
          <cell r="F462">
            <v>232127.53</v>
          </cell>
          <cell r="V462">
            <v>77138</v>
          </cell>
        </row>
        <row r="463">
          <cell r="A463" t="str">
            <v>25901</v>
          </cell>
          <cell r="B463" t="str">
            <v xml:space="preserve">  Otros productos químicos</v>
          </cell>
          <cell r="C463" t="str">
            <v>04</v>
          </cell>
          <cell r="F463">
            <v>232127.53</v>
          </cell>
          <cell r="V463">
            <v>77138</v>
          </cell>
        </row>
        <row r="464">
          <cell r="A464" t="str">
            <v>26000</v>
          </cell>
          <cell r="B464" t="str">
            <v>COMBUSTIBLES, LUBRICANTES Y ADITIVOS</v>
          </cell>
          <cell r="C464" t="str">
            <v>04</v>
          </cell>
          <cell r="F464">
            <v>269675.55</v>
          </cell>
          <cell r="V464">
            <v>190686.82</v>
          </cell>
        </row>
        <row r="465">
          <cell r="A465" t="str">
            <v>26100</v>
          </cell>
          <cell r="B465" t="str">
            <v xml:space="preserve">  Combustibles, lubricantes y aditivos</v>
          </cell>
          <cell r="C465" t="str">
            <v>04</v>
          </cell>
          <cell r="F465">
            <v>269675.55</v>
          </cell>
          <cell r="V465">
            <v>190686.82</v>
          </cell>
        </row>
        <row r="466">
          <cell r="A466" t="str">
            <v>26101</v>
          </cell>
          <cell r="B466" t="str">
            <v xml:space="preserve">  Combustible de Equipo de Transporte</v>
          </cell>
          <cell r="C466" t="str">
            <v>04</v>
          </cell>
          <cell r="F466">
            <v>140809.66</v>
          </cell>
          <cell r="V466">
            <v>69617.67</v>
          </cell>
        </row>
        <row r="467">
          <cell r="A467" t="str">
            <v>26102</v>
          </cell>
          <cell r="B467" t="str">
            <v xml:space="preserve">  Lubricantes y Aditivos Equipo de Transporte</v>
          </cell>
          <cell r="C467" t="str">
            <v>04</v>
          </cell>
          <cell r="F467">
            <v>4000</v>
          </cell>
          <cell r="V467">
            <v>700</v>
          </cell>
        </row>
        <row r="468">
          <cell r="A468" t="str">
            <v>26111</v>
          </cell>
          <cell r="B468" t="str">
            <v xml:space="preserve">  Combustible, Maquinaria y Equipo</v>
          </cell>
          <cell r="C468" t="str">
            <v>04</v>
          </cell>
          <cell r="F468">
            <v>120565.89</v>
          </cell>
          <cell r="V468">
            <v>120369.15</v>
          </cell>
        </row>
        <row r="469">
          <cell r="A469" t="str">
            <v>26112</v>
          </cell>
          <cell r="B469" t="str">
            <v xml:space="preserve">  Lubricantes y Aditivos Maquinaria y Equipo</v>
          </cell>
          <cell r="C469" t="str">
            <v>04</v>
          </cell>
          <cell r="F469">
            <v>4300</v>
          </cell>
          <cell r="V469">
            <v>0</v>
          </cell>
        </row>
        <row r="470">
          <cell r="A470" t="str">
            <v>27000</v>
          </cell>
          <cell r="B470" t="str">
            <v>VESTUARIO, BLANCOS, PRENDAS DE PROTECCIÓN Y ARTÍCULOS DEPORTIVOS</v>
          </cell>
          <cell r="C470" t="str">
            <v>04</v>
          </cell>
          <cell r="F470">
            <v>102000</v>
          </cell>
          <cell r="V470">
            <v>5657.8</v>
          </cell>
        </row>
        <row r="471">
          <cell r="A471" t="str">
            <v>27100</v>
          </cell>
          <cell r="B471" t="str">
            <v xml:space="preserve">  Vestuario y uniformes</v>
          </cell>
          <cell r="C471" t="str">
            <v>04</v>
          </cell>
          <cell r="F471">
            <v>96000</v>
          </cell>
          <cell r="V471">
            <v>0</v>
          </cell>
        </row>
        <row r="472">
          <cell r="A472" t="str">
            <v>27101</v>
          </cell>
          <cell r="B472" t="str">
            <v xml:space="preserve">  Vestuario y uniformes</v>
          </cell>
          <cell r="C472" t="str">
            <v>04</v>
          </cell>
          <cell r="F472">
            <v>96000</v>
          </cell>
          <cell r="V472">
            <v>0</v>
          </cell>
        </row>
        <row r="473">
          <cell r="A473" t="str">
            <v>27200</v>
          </cell>
          <cell r="B473" t="str">
            <v xml:space="preserve">  Prendas de seguridad y protección personal</v>
          </cell>
          <cell r="C473" t="str">
            <v>04</v>
          </cell>
          <cell r="F473">
            <v>6000</v>
          </cell>
          <cell r="V473">
            <v>5657.8</v>
          </cell>
        </row>
        <row r="474">
          <cell r="A474" t="str">
            <v>27201</v>
          </cell>
          <cell r="B474" t="str">
            <v xml:space="preserve">  Prendas de seguridad y protección personal</v>
          </cell>
          <cell r="C474" t="str">
            <v>04</v>
          </cell>
          <cell r="F474">
            <v>6000</v>
          </cell>
          <cell r="V474">
            <v>5657.8</v>
          </cell>
        </row>
        <row r="475">
          <cell r="A475" t="str">
            <v>29000</v>
          </cell>
          <cell r="B475" t="str">
            <v>HERRAMIENTAS, REFACCIONES Y ACCESORIOS MENORES</v>
          </cell>
          <cell r="C475" t="str">
            <v>04</v>
          </cell>
          <cell r="F475">
            <v>771671.09</v>
          </cell>
          <cell r="V475">
            <v>262989.26</v>
          </cell>
        </row>
        <row r="476">
          <cell r="A476" t="str">
            <v>29500</v>
          </cell>
          <cell r="B476" t="str">
            <v xml:space="preserve">  Refacciones y accesorios menores de equipo e instrumental médico y de laboratorio</v>
          </cell>
          <cell r="C476" t="str">
            <v>04</v>
          </cell>
          <cell r="F476">
            <v>20000</v>
          </cell>
          <cell r="V476">
            <v>0</v>
          </cell>
        </row>
        <row r="477">
          <cell r="A477" t="str">
            <v>29501</v>
          </cell>
          <cell r="B477" t="str">
            <v xml:space="preserve">  Refacciones y accesorios menores de equipo e instrumental médico y de laboratorio</v>
          </cell>
          <cell r="C477" t="str">
            <v>04</v>
          </cell>
          <cell r="F477">
            <v>20000</v>
          </cell>
          <cell r="V477">
            <v>0</v>
          </cell>
        </row>
        <row r="478">
          <cell r="A478" t="str">
            <v>29600</v>
          </cell>
          <cell r="B478" t="str">
            <v xml:space="preserve">  Refacciones y accesorios menores de equipo de transporte</v>
          </cell>
          <cell r="C478" t="str">
            <v>04</v>
          </cell>
          <cell r="F478">
            <v>15375.58</v>
          </cell>
          <cell r="V478">
            <v>2562.41</v>
          </cell>
        </row>
        <row r="479">
          <cell r="A479" t="str">
            <v>29601</v>
          </cell>
          <cell r="B479" t="str">
            <v xml:space="preserve">  Refacciones y accesorios menores de equipo de transporte</v>
          </cell>
          <cell r="C479" t="str">
            <v>04</v>
          </cell>
          <cell r="F479">
            <v>15375.58</v>
          </cell>
          <cell r="V479">
            <v>2562.41</v>
          </cell>
        </row>
        <row r="480">
          <cell r="A480" t="str">
            <v>29800</v>
          </cell>
          <cell r="B480" t="str">
            <v xml:space="preserve">  Refacciones y accesorios menores de maquinaria y otros equipos</v>
          </cell>
          <cell r="C480" t="str">
            <v>04</v>
          </cell>
          <cell r="F480">
            <v>736295.51</v>
          </cell>
          <cell r="V480">
            <v>260426.85</v>
          </cell>
        </row>
        <row r="481">
          <cell r="A481" t="str">
            <v>29801</v>
          </cell>
          <cell r="B481" t="str">
            <v xml:space="preserve">  Refacciones y accesorios menores de maquinaria y otros equipos</v>
          </cell>
          <cell r="C481" t="str">
            <v>04</v>
          </cell>
          <cell r="F481">
            <v>736295.51</v>
          </cell>
          <cell r="V481">
            <v>260426.85</v>
          </cell>
        </row>
        <row r="482">
          <cell r="A482" t="str">
            <v>30000</v>
          </cell>
          <cell r="B482" t="str">
            <v>SERVICIOS GENERALES</v>
          </cell>
          <cell r="C482" t="str">
            <v>04</v>
          </cell>
          <cell r="F482">
            <v>2802237.48</v>
          </cell>
          <cell r="V482">
            <v>1440199.85</v>
          </cell>
        </row>
        <row r="483">
          <cell r="A483" t="str">
            <v>31000</v>
          </cell>
          <cell r="B483" t="str">
            <v>SERVICIOS BÁSICOS</v>
          </cell>
          <cell r="C483" t="str">
            <v>04</v>
          </cell>
          <cell r="F483">
            <v>1754179.76</v>
          </cell>
          <cell r="V483">
            <v>864774.32</v>
          </cell>
        </row>
        <row r="484">
          <cell r="A484" t="str">
            <v>31100</v>
          </cell>
          <cell r="B484" t="str">
            <v xml:space="preserve">  Energía eléctrica</v>
          </cell>
          <cell r="C484" t="str">
            <v>04</v>
          </cell>
          <cell r="F484">
            <v>1735333.32</v>
          </cell>
          <cell r="V484">
            <v>860234.83</v>
          </cell>
        </row>
        <row r="485">
          <cell r="A485" t="str">
            <v>31101</v>
          </cell>
          <cell r="B485" t="str">
            <v xml:space="preserve">  Energía eléctrica</v>
          </cell>
          <cell r="C485" t="str">
            <v>04</v>
          </cell>
          <cell r="F485">
            <v>1735333.32</v>
          </cell>
          <cell r="V485">
            <v>860234.83</v>
          </cell>
        </row>
        <row r="486">
          <cell r="A486" t="str">
            <v>31200</v>
          </cell>
          <cell r="B486" t="str">
            <v xml:space="preserve">  Gas</v>
          </cell>
          <cell r="C486" t="str">
            <v>04</v>
          </cell>
          <cell r="F486">
            <v>8196</v>
          </cell>
          <cell r="V486">
            <v>4539.49</v>
          </cell>
        </row>
        <row r="487">
          <cell r="A487" t="str">
            <v>31201</v>
          </cell>
          <cell r="B487" t="str">
            <v xml:space="preserve">  Gas</v>
          </cell>
          <cell r="C487" t="str">
            <v>04</v>
          </cell>
          <cell r="F487">
            <v>8196</v>
          </cell>
          <cell r="V487">
            <v>4539.49</v>
          </cell>
        </row>
        <row r="488">
          <cell r="A488" t="str">
            <v>31300</v>
          </cell>
          <cell r="B488" t="str">
            <v xml:space="preserve">  Agua</v>
          </cell>
          <cell r="C488" t="str">
            <v>04</v>
          </cell>
          <cell r="F488">
            <v>6000</v>
          </cell>
          <cell r="V488">
            <v>0</v>
          </cell>
        </row>
        <row r="489">
          <cell r="A489" t="str">
            <v>31301</v>
          </cell>
          <cell r="B489" t="str">
            <v xml:space="preserve">  Agua</v>
          </cell>
          <cell r="C489" t="str">
            <v>04</v>
          </cell>
          <cell r="F489">
            <v>6000</v>
          </cell>
          <cell r="V489">
            <v>0</v>
          </cell>
        </row>
        <row r="490">
          <cell r="A490" t="str">
            <v>31500</v>
          </cell>
          <cell r="B490" t="str">
            <v xml:space="preserve">  Telefonía celular</v>
          </cell>
          <cell r="C490" t="str">
            <v>04</v>
          </cell>
          <cell r="F490">
            <v>4650.4399999999996</v>
          </cell>
          <cell r="V490">
            <v>0</v>
          </cell>
        </row>
        <row r="491">
          <cell r="A491" t="str">
            <v>31501</v>
          </cell>
          <cell r="B491" t="str">
            <v xml:space="preserve">  Telefonía celular</v>
          </cell>
          <cell r="C491" t="str">
            <v>04</v>
          </cell>
          <cell r="F491">
            <v>4650.4399999999996</v>
          </cell>
          <cell r="V491">
            <v>0</v>
          </cell>
        </row>
        <row r="492">
          <cell r="A492" t="str">
            <v>33000</v>
          </cell>
          <cell r="B492" t="str">
            <v>SERVICIOS PROFESIONALES, CIENTÍFICOS, TÉCNICOS Y OTROS SERVICIOS</v>
          </cell>
          <cell r="C492" t="str">
            <v>04</v>
          </cell>
          <cell r="F492">
            <v>567320.14</v>
          </cell>
          <cell r="V492">
            <v>359056</v>
          </cell>
        </row>
        <row r="493">
          <cell r="A493" t="str">
            <v>33400</v>
          </cell>
          <cell r="B493" t="str">
            <v xml:space="preserve">  Servicios de capacitación</v>
          </cell>
          <cell r="C493" t="str">
            <v>04</v>
          </cell>
          <cell r="F493">
            <v>8000</v>
          </cell>
          <cell r="V493">
            <v>0</v>
          </cell>
        </row>
        <row r="494">
          <cell r="A494" t="str">
            <v>33401</v>
          </cell>
          <cell r="B494" t="str">
            <v xml:space="preserve">  Servicios de capacitación</v>
          </cell>
          <cell r="C494" t="str">
            <v>04</v>
          </cell>
          <cell r="F494">
            <v>8000</v>
          </cell>
          <cell r="V494">
            <v>0</v>
          </cell>
        </row>
        <row r="495">
          <cell r="A495" t="str">
            <v>33600</v>
          </cell>
          <cell r="B495" t="str">
            <v xml:space="preserve">  Servicios de apoyo administrativo, traducción, fotocopiado e impresión</v>
          </cell>
          <cell r="C495" t="str">
            <v>04</v>
          </cell>
          <cell r="F495">
            <v>3865</v>
          </cell>
          <cell r="V495">
            <v>3865</v>
          </cell>
        </row>
        <row r="496">
          <cell r="A496" t="str">
            <v>33601</v>
          </cell>
          <cell r="B496" t="str">
            <v xml:space="preserve">  Servicios de apoyo administrativo, fotocopiado e impresión</v>
          </cell>
          <cell r="C496" t="str">
            <v>04</v>
          </cell>
          <cell r="F496">
            <v>3865</v>
          </cell>
          <cell r="V496">
            <v>3865</v>
          </cell>
        </row>
        <row r="497">
          <cell r="A497" t="str">
            <v>33900</v>
          </cell>
          <cell r="B497" t="str">
            <v xml:space="preserve">  Servicios profesionales, científicos y técnicos integrales</v>
          </cell>
          <cell r="C497" t="str">
            <v>04</v>
          </cell>
          <cell r="F497">
            <v>555455.14</v>
          </cell>
          <cell r="V497">
            <v>355191</v>
          </cell>
        </row>
        <row r="498">
          <cell r="A498" t="str">
            <v>33901</v>
          </cell>
          <cell r="B498" t="str">
            <v xml:space="preserve">  Servicios profesionales, científicos y técnicos integrales</v>
          </cell>
          <cell r="C498" t="str">
            <v>04</v>
          </cell>
          <cell r="F498">
            <v>555455.14</v>
          </cell>
          <cell r="V498">
            <v>355191</v>
          </cell>
        </row>
        <row r="499">
          <cell r="A499" t="str">
            <v>34000</v>
          </cell>
          <cell r="B499" t="str">
            <v>SERVICIOS FINANCIEROS, BANCARIOS Y COMERCIALES</v>
          </cell>
          <cell r="C499" t="str">
            <v>04</v>
          </cell>
          <cell r="F499">
            <v>60559.49</v>
          </cell>
          <cell r="V499">
            <v>22740.2</v>
          </cell>
        </row>
        <row r="500">
          <cell r="A500" t="str">
            <v>34500</v>
          </cell>
          <cell r="B500" t="str">
            <v xml:space="preserve">  Seguro de bienes patrimoniales</v>
          </cell>
          <cell r="C500" t="str">
            <v>04</v>
          </cell>
          <cell r="F500">
            <v>60559.49</v>
          </cell>
          <cell r="V500">
            <v>22740.2</v>
          </cell>
        </row>
        <row r="501">
          <cell r="A501" t="str">
            <v>34501</v>
          </cell>
          <cell r="B501" t="str">
            <v xml:space="preserve">  Seguro de bienes patrimoniales</v>
          </cell>
          <cell r="C501" t="str">
            <v>04</v>
          </cell>
          <cell r="F501">
            <v>60559.49</v>
          </cell>
          <cell r="V501">
            <v>22740.2</v>
          </cell>
        </row>
        <row r="502">
          <cell r="A502" t="str">
            <v>35000</v>
          </cell>
          <cell r="B502" t="str">
            <v>SERVICIOS DE INSTALACIÓN, REPARACIÓN, MANTENIMIENTO Y CONSERVACIÓN</v>
          </cell>
          <cell r="C502" t="str">
            <v>04</v>
          </cell>
          <cell r="F502">
            <v>258082.6</v>
          </cell>
          <cell r="V502">
            <v>190598</v>
          </cell>
        </row>
        <row r="503">
          <cell r="A503" t="str">
            <v>35100</v>
          </cell>
          <cell r="B503" t="str">
            <v xml:space="preserve">  Conservación y mantenimiento menor de inmuebles</v>
          </cell>
          <cell r="C503" t="str">
            <v>04</v>
          </cell>
          <cell r="F503">
            <v>60000</v>
          </cell>
          <cell r="V503">
            <v>0</v>
          </cell>
        </row>
        <row r="504">
          <cell r="A504" t="str">
            <v>35101</v>
          </cell>
          <cell r="B504" t="str">
            <v xml:space="preserve">  Conservación y mantenimiento menor de inmuebles</v>
          </cell>
          <cell r="C504" t="str">
            <v>04</v>
          </cell>
          <cell r="F504">
            <v>60000</v>
          </cell>
          <cell r="V504">
            <v>0</v>
          </cell>
        </row>
        <row r="505">
          <cell r="A505" t="str">
            <v>35500</v>
          </cell>
          <cell r="B505" t="str">
            <v xml:space="preserve">  Reparación y mantenimiento de equipo de transporte</v>
          </cell>
          <cell r="C505" t="str">
            <v>04</v>
          </cell>
          <cell r="F505">
            <v>18082.599999999999</v>
          </cell>
          <cell r="V505">
            <v>10650</v>
          </cell>
        </row>
        <row r="506">
          <cell r="A506" t="str">
            <v>35501</v>
          </cell>
          <cell r="B506" t="str">
            <v xml:space="preserve">  Reparación y mantenimiento de equipo de transporte</v>
          </cell>
          <cell r="C506" t="str">
            <v>04</v>
          </cell>
          <cell r="F506">
            <v>18082.599999999999</v>
          </cell>
          <cell r="V506">
            <v>10650</v>
          </cell>
        </row>
        <row r="507">
          <cell r="A507" t="str">
            <v>35700</v>
          </cell>
          <cell r="B507" t="str">
            <v xml:space="preserve">  Instalación, reparación y mantenimiento de maquinaria, otros equipos y herramienta</v>
          </cell>
          <cell r="C507" t="str">
            <v>04</v>
          </cell>
          <cell r="F507">
            <v>180000</v>
          </cell>
          <cell r="V507">
            <v>179948</v>
          </cell>
        </row>
        <row r="508">
          <cell r="A508" t="str">
            <v>35701</v>
          </cell>
          <cell r="B508" t="str">
            <v xml:space="preserve">  Instalación, reparación y mantenimiento de maquinaria, otros equipos y herramienta</v>
          </cell>
          <cell r="C508" t="str">
            <v>04</v>
          </cell>
          <cell r="F508">
            <v>180000</v>
          </cell>
          <cell r="V508">
            <v>179948</v>
          </cell>
        </row>
        <row r="509">
          <cell r="A509" t="str">
            <v>37000</v>
          </cell>
          <cell r="B509" t="str">
            <v>SERVICIOS DE TRASLADOS Y VIÁTICOS</v>
          </cell>
          <cell r="C509" t="str">
            <v>04</v>
          </cell>
          <cell r="F509">
            <v>12095.49</v>
          </cell>
          <cell r="V509">
            <v>3031.33</v>
          </cell>
        </row>
        <row r="510">
          <cell r="A510" t="str">
            <v>37500</v>
          </cell>
          <cell r="B510" t="str">
            <v xml:space="preserve">  Viáticos en el país</v>
          </cell>
          <cell r="C510" t="str">
            <v>04</v>
          </cell>
          <cell r="F510">
            <v>12095.49</v>
          </cell>
          <cell r="V510">
            <v>3031.33</v>
          </cell>
        </row>
        <row r="511">
          <cell r="A511" t="str">
            <v>37501</v>
          </cell>
          <cell r="B511" t="str">
            <v xml:space="preserve">  Viáticos en el país</v>
          </cell>
          <cell r="C511" t="str">
            <v>04</v>
          </cell>
          <cell r="F511">
            <v>6000</v>
          </cell>
          <cell r="V511">
            <v>3031.33</v>
          </cell>
        </row>
        <row r="512">
          <cell r="A512" t="str">
            <v>37502</v>
          </cell>
          <cell r="B512" t="str">
            <v xml:space="preserve">  Viaticos Consulta Medica</v>
          </cell>
          <cell r="C512" t="str">
            <v>04</v>
          </cell>
          <cell r="F512">
            <v>6095.49</v>
          </cell>
          <cell r="V512">
            <v>0</v>
          </cell>
        </row>
        <row r="513">
          <cell r="A513" t="str">
            <v>39000</v>
          </cell>
          <cell r="B513" t="str">
            <v>OTROS SERVICIOS GENERALES</v>
          </cell>
          <cell r="C513" t="str">
            <v>04</v>
          </cell>
          <cell r="F513">
            <v>150000</v>
          </cell>
          <cell r="V513">
            <v>0</v>
          </cell>
        </row>
        <row r="514">
          <cell r="A514" t="str">
            <v>39900</v>
          </cell>
          <cell r="B514" t="str">
            <v xml:space="preserve">  Otros servicios generales</v>
          </cell>
          <cell r="C514" t="str">
            <v>04</v>
          </cell>
          <cell r="F514">
            <v>150000</v>
          </cell>
          <cell r="V514">
            <v>0</v>
          </cell>
        </row>
        <row r="515">
          <cell r="A515" t="str">
            <v>39901</v>
          </cell>
          <cell r="B515" t="str">
            <v xml:space="preserve">  Otros servicios generales</v>
          </cell>
          <cell r="C515" t="str">
            <v>04</v>
          </cell>
          <cell r="F515">
            <v>150000</v>
          </cell>
          <cell r="V515">
            <v>0</v>
          </cell>
        </row>
        <row r="516">
          <cell r="A516" t="str">
            <v>40000</v>
          </cell>
          <cell r="B516" t="str">
            <v>TRANSFERENCIAS, ASIGNACIONES, SUBSIDIOS Y OTRAS AYUDAS</v>
          </cell>
          <cell r="C516" t="str">
            <v>04</v>
          </cell>
          <cell r="F516">
            <v>234931.29</v>
          </cell>
          <cell r="V516">
            <v>103133.24</v>
          </cell>
        </row>
        <row r="517">
          <cell r="A517" t="str">
            <v>41000</v>
          </cell>
          <cell r="B517" t="str">
            <v>TRANSFERENCIAS INTERNAS Y ASIGNACIONES AL SECTOR PÚBLICO</v>
          </cell>
          <cell r="C517" t="str">
            <v>04</v>
          </cell>
          <cell r="F517">
            <v>234931.29</v>
          </cell>
          <cell r="V517">
            <v>103133.24</v>
          </cell>
        </row>
        <row r="518">
          <cell r="A518" t="str">
            <v>41500</v>
          </cell>
          <cell r="B518" t="str">
            <v xml:space="preserve">  Transferencias internas otorgadas a entidades paraestatales no empresariales y no financieras</v>
          </cell>
          <cell r="C518" t="str">
            <v>04</v>
          </cell>
          <cell r="F518">
            <v>234931.29</v>
          </cell>
          <cell r="V518">
            <v>103133.24</v>
          </cell>
        </row>
        <row r="519">
          <cell r="A519" t="str">
            <v>41503</v>
          </cell>
          <cell r="B519" t="str">
            <v xml:space="preserve">  Diferencial de servicio medico pensiones</v>
          </cell>
          <cell r="C519" t="str">
            <v>04</v>
          </cell>
          <cell r="F519">
            <v>234931.29</v>
          </cell>
          <cell r="V519">
            <v>103133.24</v>
          </cell>
        </row>
        <row r="520">
          <cell r="A520" t="str">
            <v>50000</v>
          </cell>
          <cell r="B520" t="str">
            <v>BIENES MUEBLES, INMUEBLES E INTANGIBLES</v>
          </cell>
          <cell r="C520" t="str">
            <v>04</v>
          </cell>
          <cell r="F520">
            <v>62000</v>
          </cell>
          <cell r="V520">
            <v>7357.58</v>
          </cell>
        </row>
        <row r="521">
          <cell r="A521" t="str">
            <v>56000</v>
          </cell>
          <cell r="B521" t="str">
            <v>MAQUINARIA, OTROS EQUIPOS Y HERRAMIENTAS</v>
          </cell>
          <cell r="C521" t="str">
            <v>04</v>
          </cell>
          <cell r="F521">
            <v>62000</v>
          </cell>
          <cell r="V521">
            <v>7357.58</v>
          </cell>
        </row>
        <row r="522">
          <cell r="A522" t="str">
            <v>56400</v>
          </cell>
          <cell r="B522" t="str">
            <v xml:space="preserve">  Sistemas de aire acondicionado, calefacción y de refrigeración industrial y comercial</v>
          </cell>
          <cell r="C522" t="str">
            <v>04</v>
          </cell>
          <cell r="F522">
            <v>12000</v>
          </cell>
          <cell r="V522">
            <v>7357.58</v>
          </cell>
        </row>
        <row r="523">
          <cell r="A523" t="str">
            <v>56401</v>
          </cell>
          <cell r="B523" t="str">
            <v xml:space="preserve">  Sistemas de aire acondicionado, calefacción y de refrigeración industrial y comercial</v>
          </cell>
          <cell r="C523" t="str">
            <v>04</v>
          </cell>
          <cell r="F523">
            <v>12000</v>
          </cell>
          <cell r="V523">
            <v>7357.58</v>
          </cell>
        </row>
        <row r="524">
          <cell r="A524" t="str">
            <v>56700</v>
          </cell>
          <cell r="B524" t="str">
            <v xml:space="preserve">  Herramientas y máquinas-herramienta</v>
          </cell>
          <cell r="C524" t="str">
            <v>04</v>
          </cell>
          <cell r="F524">
            <v>50000</v>
          </cell>
          <cell r="V524">
            <v>0</v>
          </cell>
        </row>
        <row r="525">
          <cell r="A525" t="str">
            <v>56701</v>
          </cell>
          <cell r="B525" t="str">
            <v xml:space="preserve">  Herramientas y máquinas-herramienta</v>
          </cell>
          <cell r="C525" t="str">
            <v>04</v>
          </cell>
          <cell r="F525">
            <v>50000</v>
          </cell>
          <cell r="V525">
            <v>0</v>
          </cell>
        </row>
        <row r="526">
          <cell r="A526" t="str">
            <v>60000</v>
          </cell>
          <cell r="B526" t="str">
            <v>INVERSIÓN PÚBLICA</v>
          </cell>
          <cell r="C526" t="str">
            <v>04</v>
          </cell>
          <cell r="F526">
            <v>1300000</v>
          </cell>
          <cell r="V526">
            <v>350354.81</v>
          </cell>
        </row>
        <row r="527">
          <cell r="A527" t="str">
            <v>62000</v>
          </cell>
          <cell r="B527" t="str">
            <v>OBRA PÚBLICA EN BIENES PROPIOS</v>
          </cell>
          <cell r="C527" t="str">
            <v>04</v>
          </cell>
          <cell r="F527">
            <v>1300000</v>
          </cell>
          <cell r="V527">
            <v>350354.81</v>
          </cell>
        </row>
        <row r="528">
          <cell r="A528" t="str">
            <v>62400</v>
          </cell>
          <cell r="B528" t="str">
            <v xml:space="preserve">  División de terrenos y construcción de obras de urbanización</v>
          </cell>
          <cell r="C528" t="str">
            <v>04</v>
          </cell>
          <cell r="F528">
            <v>1300000</v>
          </cell>
          <cell r="V528">
            <v>350354.81</v>
          </cell>
        </row>
        <row r="529">
          <cell r="A529" t="str">
            <v>62401</v>
          </cell>
          <cell r="B529" t="str">
            <v xml:space="preserve">  División de terrenos y construcción de obras de urbanización</v>
          </cell>
          <cell r="C529" t="str">
            <v>04</v>
          </cell>
          <cell r="F529">
            <v>1300000</v>
          </cell>
          <cell r="V529">
            <v>350354.81</v>
          </cell>
        </row>
        <row r="530">
          <cell r="A530" t="str">
            <v>10000</v>
          </cell>
          <cell r="B530" t="str">
            <v>SERVICIOS PERSONALES</v>
          </cell>
          <cell r="C530" t="str">
            <v>05</v>
          </cell>
          <cell r="F530">
            <v>2243740.88</v>
          </cell>
          <cell r="V530">
            <v>1093721.73</v>
          </cell>
        </row>
        <row r="531">
          <cell r="A531" t="str">
            <v>11000</v>
          </cell>
          <cell r="B531" t="str">
            <v>REMUNERACIONES AL PERSONAL DE CARÁCTER PERMANENTE</v>
          </cell>
          <cell r="C531" t="str">
            <v>05</v>
          </cell>
          <cell r="F531">
            <v>961829.28</v>
          </cell>
          <cell r="V531">
            <v>567270.12</v>
          </cell>
        </row>
        <row r="532">
          <cell r="A532" t="str">
            <v>11300</v>
          </cell>
          <cell r="B532" t="str">
            <v xml:space="preserve">  Sueldos base al personal permanente</v>
          </cell>
          <cell r="C532" t="str">
            <v>05</v>
          </cell>
          <cell r="F532">
            <v>961829.28</v>
          </cell>
          <cell r="V532">
            <v>567270.12</v>
          </cell>
        </row>
        <row r="533">
          <cell r="A533" t="str">
            <v>11301</v>
          </cell>
          <cell r="B533" t="str">
            <v xml:space="preserve">  Sueldos base al personal permanente</v>
          </cell>
          <cell r="C533" t="str">
            <v>05</v>
          </cell>
          <cell r="F533">
            <v>961829.28</v>
          </cell>
          <cell r="V533">
            <v>567270.12</v>
          </cell>
        </row>
        <row r="534">
          <cell r="A534" t="str">
            <v>13000</v>
          </cell>
          <cell r="B534" t="str">
            <v>REMUNERACIONES ADICIONALES Y ESPECIALES</v>
          </cell>
          <cell r="C534" t="str">
            <v>05</v>
          </cell>
          <cell r="F534">
            <v>584640.21</v>
          </cell>
          <cell r="V534">
            <v>101400.2</v>
          </cell>
        </row>
        <row r="535">
          <cell r="A535" t="str">
            <v>13200</v>
          </cell>
          <cell r="B535" t="str">
            <v xml:space="preserve">  Primas de vacaciones, dominical y gratificación de fin de año</v>
          </cell>
          <cell r="C535" t="str">
            <v>05</v>
          </cell>
          <cell r="F535">
            <v>274946.46000000002</v>
          </cell>
          <cell r="V535">
            <v>68146.759999999995</v>
          </cell>
        </row>
        <row r="536">
          <cell r="A536" t="str">
            <v>13201</v>
          </cell>
          <cell r="B536" t="str">
            <v xml:space="preserve">  Gratificación anual</v>
          </cell>
          <cell r="C536" t="str">
            <v>05</v>
          </cell>
          <cell r="F536">
            <v>148885.57999999999</v>
          </cell>
          <cell r="V536">
            <v>0</v>
          </cell>
        </row>
        <row r="537">
          <cell r="A537" t="str">
            <v>13202</v>
          </cell>
          <cell r="B537" t="str">
            <v xml:space="preserve">  Prima Vacacional</v>
          </cell>
          <cell r="C537" t="str">
            <v>05</v>
          </cell>
          <cell r="F537">
            <v>126060.88</v>
          </cell>
          <cell r="V537">
            <v>68146.759999999995</v>
          </cell>
        </row>
        <row r="538">
          <cell r="A538" t="str">
            <v>13300</v>
          </cell>
          <cell r="B538" t="str">
            <v xml:space="preserve">  Horas extraordinarias</v>
          </cell>
          <cell r="C538" t="str">
            <v>05</v>
          </cell>
          <cell r="F538">
            <v>204318.44</v>
          </cell>
          <cell r="V538">
            <v>18745.84</v>
          </cell>
        </row>
        <row r="539">
          <cell r="A539" t="str">
            <v>13301</v>
          </cell>
          <cell r="B539" t="str">
            <v xml:space="preserve">  Horas extraordinarias</v>
          </cell>
          <cell r="C539" t="str">
            <v>05</v>
          </cell>
          <cell r="F539">
            <v>24118.44</v>
          </cell>
          <cell r="V539">
            <v>5593.21</v>
          </cell>
        </row>
        <row r="540">
          <cell r="A540" t="str">
            <v>13302</v>
          </cell>
          <cell r="B540" t="str">
            <v xml:space="preserve">  Vacaciones Pagadas</v>
          </cell>
          <cell r="C540" t="str">
            <v>05</v>
          </cell>
          <cell r="F540">
            <v>180200</v>
          </cell>
          <cell r="V540">
            <v>13152.63</v>
          </cell>
        </row>
        <row r="541">
          <cell r="A541" t="str">
            <v>13400</v>
          </cell>
          <cell r="B541" t="str">
            <v xml:space="preserve">  Compensaciones</v>
          </cell>
          <cell r="C541" t="str">
            <v>05</v>
          </cell>
          <cell r="F541">
            <v>105375.31</v>
          </cell>
          <cell r="V541">
            <v>14507.6</v>
          </cell>
        </row>
        <row r="542">
          <cell r="A542" t="str">
            <v>13401</v>
          </cell>
          <cell r="B542" t="str">
            <v xml:space="preserve">  Compensaciones</v>
          </cell>
          <cell r="C542" t="str">
            <v>05</v>
          </cell>
          <cell r="F542">
            <v>63320.160000000003</v>
          </cell>
          <cell r="V542">
            <v>14507.6</v>
          </cell>
        </row>
        <row r="543">
          <cell r="A543" t="str">
            <v>13403</v>
          </cell>
          <cell r="B543" t="str">
            <v xml:space="preserve">  Bono Complementario</v>
          </cell>
          <cell r="C543" t="str">
            <v>05</v>
          </cell>
          <cell r="F543">
            <v>42055.15</v>
          </cell>
          <cell r="V543">
            <v>0</v>
          </cell>
        </row>
        <row r="544">
          <cell r="A544" t="str">
            <v>14000</v>
          </cell>
          <cell r="B544" t="str">
            <v>SEGURIDAD SOCIAL</v>
          </cell>
          <cell r="C544" t="str">
            <v>05</v>
          </cell>
          <cell r="F544">
            <v>278758.65999999997</v>
          </cell>
          <cell r="V544">
            <v>123786.81</v>
          </cell>
        </row>
        <row r="545">
          <cell r="A545" t="str">
            <v>14100</v>
          </cell>
          <cell r="B545" t="str">
            <v xml:space="preserve">  Aportaciones de seguridad social</v>
          </cell>
          <cell r="C545" t="str">
            <v>05</v>
          </cell>
          <cell r="F545">
            <v>41467.39</v>
          </cell>
          <cell r="V545">
            <v>16090.71</v>
          </cell>
        </row>
        <row r="546">
          <cell r="A546" t="str">
            <v>14101</v>
          </cell>
          <cell r="B546" t="str">
            <v xml:space="preserve">  Aportaciones a Pensiones</v>
          </cell>
          <cell r="C546" t="str">
            <v>05</v>
          </cell>
          <cell r="F546">
            <v>35467.39</v>
          </cell>
          <cell r="V546">
            <v>16090.71</v>
          </cell>
        </row>
        <row r="547">
          <cell r="A547" t="str">
            <v>14103</v>
          </cell>
          <cell r="B547" t="str">
            <v xml:space="preserve">  Aportaciones al ICHISAL</v>
          </cell>
          <cell r="C547" t="str">
            <v>05</v>
          </cell>
          <cell r="F547">
            <v>6000</v>
          </cell>
          <cell r="V547">
            <v>0</v>
          </cell>
        </row>
        <row r="548">
          <cell r="A548" t="str">
            <v>14300</v>
          </cell>
          <cell r="B548" t="str">
            <v xml:space="preserve">  Aportaciones al sistema para el retiro</v>
          </cell>
          <cell r="C548" t="str">
            <v>05</v>
          </cell>
          <cell r="F548">
            <v>237291.27</v>
          </cell>
          <cell r="V548">
            <v>107696.1</v>
          </cell>
        </row>
        <row r="549">
          <cell r="A549" t="str">
            <v>14301</v>
          </cell>
          <cell r="B549" t="str">
            <v xml:space="preserve">  Aportaciones para el fondo propio</v>
          </cell>
          <cell r="C549" t="str">
            <v>05</v>
          </cell>
          <cell r="F549">
            <v>237291.27</v>
          </cell>
          <cell r="V549">
            <v>107696.1</v>
          </cell>
        </row>
        <row r="550">
          <cell r="A550" t="str">
            <v>15000</v>
          </cell>
          <cell r="B550" t="str">
            <v>OTRAS PRESTACIONES SOCIALES Y ECONÓMICAS</v>
          </cell>
          <cell r="C550" t="str">
            <v>05</v>
          </cell>
          <cell r="F550">
            <v>418512.73</v>
          </cell>
          <cell r="V550">
            <v>301264.59999999998</v>
          </cell>
        </row>
        <row r="551">
          <cell r="A551" t="str">
            <v>15200</v>
          </cell>
          <cell r="B551" t="str">
            <v xml:space="preserve">  Indemnizaciones</v>
          </cell>
          <cell r="C551" t="str">
            <v>05</v>
          </cell>
          <cell r="F551">
            <v>154813.57</v>
          </cell>
          <cell r="V551">
            <v>154813.57</v>
          </cell>
        </row>
        <row r="552">
          <cell r="A552" t="str">
            <v>15201</v>
          </cell>
          <cell r="B552" t="str">
            <v xml:space="preserve">  Indemnizaciones</v>
          </cell>
          <cell r="C552" t="str">
            <v>05</v>
          </cell>
          <cell r="F552">
            <v>154813.57</v>
          </cell>
          <cell r="V552">
            <v>154813.57</v>
          </cell>
        </row>
        <row r="553">
          <cell r="A553" t="str">
            <v>15400</v>
          </cell>
          <cell r="B553" t="str">
            <v xml:space="preserve">  Prestaciones contractuales</v>
          </cell>
          <cell r="C553" t="str">
            <v>05</v>
          </cell>
          <cell r="F553">
            <v>263699.15999999997</v>
          </cell>
          <cell r="V553">
            <v>146451.03</v>
          </cell>
        </row>
        <row r="554">
          <cell r="A554" t="str">
            <v>15401</v>
          </cell>
          <cell r="B554" t="str">
            <v xml:space="preserve">  Ayuda para lentes</v>
          </cell>
          <cell r="C554" t="str">
            <v>05</v>
          </cell>
          <cell r="F554">
            <v>2940</v>
          </cell>
          <cell r="V554">
            <v>0</v>
          </cell>
        </row>
        <row r="555">
          <cell r="A555" t="str">
            <v>15404</v>
          </cell>
          <cell r="B555" t="str">
            <v xml:space="preserve">  Despensa</v>
          </cell>
          <cell r="C555" t="str">
            <v>05</v>
          </cell>
          <cell r="F555">
            <v>210852.94</v>
          </cell>
          <cell r="V555">
            <v>121760.03</v>
          </cell>
        </row>
        <row r="556">
          <cell r="A556" t="str">
            <v>15407</v>
          </cell>
          <cell r="B556" t="str">
            <v xml:space="preserve">  Aguabono</v>
          </cell>
          <cell r="C556" t="str">
            <v>05</v>
          </cell>
          <cell r="F556">
            <v>31520.16</v>
          </cell>
          <cell r="V556">
            <v>14987</v>
          </cell>
        </row>
        <row r="557">
          <cell r="A557" t="str">
            <v>15408</v>
          </cell>
          <cell r="B557" t="str">
            <v xml:space="preserve">  2% Sobre Sueldo</v>
          </cell>
          <cell r="C557" t="str">
            <v>05</v>
          </cell>
          <cell r="F557">
            <v>18386.060000000001</v>
          </cell>
          <cell r="V557">
            <v>9704</v>
          </cell>
        </row>
        <row r="558">
          <cell r="A558" t="str">
            <v>20000</v>
          </cell>
          <cell r="B558" t="str">
            <v>MATERIALES Y SUMINISTROS</v>
          </cell>
          <cell r="C558" t="str">
            <v>05</v>
          </cell>
          <cell r="F558">
            <v>1324735.54</v>
          </cell>
          <cell r="V558">
            <v>246445.15</v>
          </cell>
        </row>
        <row r="559">
          <cell r="A559" t="str">
            <v>21000</v>
          </cell>
          <cell r="B559" t="str">
            <v>MATERIALES DE ADMINISTRACIÓN, EMISIÓN DE DOCUMENTOS Y ARTÍCULOS OFICIALES</v>
          </cell>
          <cell r="C559" t="str">
            <v>05</v>
          </cell>
          <cell r="F559">
            <v>25818.53</v>
          </cell>
          <cell r="V559">
            <v>15741.38</v>
          </cell>
        </row>
        <row r="560">
          <cell r="A560" t="str">
            <v>21100</v>
          </cell>
          <cell r="B560" t="str">
            <v xml:space="preserve">  Materiales, útiles y equipos menores de oficina</v>
          </cell>
          <cell r="C560" t="str">
            <v>05</v>
          </cell>
          <cell r="F560">
            <v>818.53</v>
          </cell>
          <cell r="V560">
            <v>0</v>
          </cell>
        </row>
        <row r="561">
          <cell r="A561" t="str">
            <v>21101</v>
          </cell>
          <cell r="B561" t="str">
            <v xml:space="preserve">  Materiales, útiles y equipos menores de oficina</v>
          </cell>
          <cell r="C561" t="str">
            <v>05</v>
          </cell>
          <cell r="F561">
            <v>818.53</v>
          </cell>
          <cell r="V561">
            <v>0</v>
          </cell>
        </row>
        <row r="562">
          <cell r="A562" t="str">
            <v>21200</v>
          </cell>
          <cell r="B562" t="str">
            <v xml:space="preserve">  Materiales y útiles de impresión y reproducción</v>
          </cell>
          <cell r="C562" t="str">
            <v>05</v>
          </cell>
          <cell r="F562">
            <v>25000</v>
          </cell>
          <cell r="V562">
            <v>15741.38</v>
          </cell>
        </row>
        <row r="563">
          <cell r="A563" t="str">
            <v>21201</v>
          </cell>
          <cell r="B563" t="str">
            <v xml:space="preserve">  Materiales y útiles de impresión y reproducción</v>
          </cell>
          <cell r="C563" t="str">
            <v>05</v>
          </cell>
          <cell r="F563">
            <v>25000</v>
          </cell>
          <cell r="V563">
            <v>15741.38</v>
          </cell>
        </row>
        <row r="564">
          <cell r="A564" t="str">
            <v>22000</v>
          </cell>
          <cell r="B564" t="str">
            <v>ALIMENTOS Y UTENSILIOS</v>
          </cell>
          <cell r="C564" t="str">
            <v>05</v>
          </cell>
          <cell r="F564">
            <v>2016.87</v>
          </cell>
          <cell r="V564">
            <v>0</v>
          </cell>
        </row>
        <row r="565">
          <cell r="A565" t="str">
            <v>22100</v>
          </cell>
          <cell r="B565" t="str">
            <v xml:space="preserve">  Productos alimenticios para personas</v>
          </cell>
          <cell r="C565" t="str">
            <v>05</v>
          </cell>
          <cell r="F565">
            <v>2016.87</v>
          </cell>
          <cell r="V565">
            <v>0</v>
          </cell>
        </row>
        <row r="566">
          <cell r="A566" t="str">
            <v>22101</v>
          </cell>
          <cell r="B566" t="str">
            <v xml:space="preserve">  Productos alimenticios para personas</v>
          </cell>
          <cell r="C566" t="str">
            <v>05</v>
          </cell>
          <cell r="F566">
            <v>2016.87</v>
          </cell>
          <cell r="V566">
            <v>0</v>
          </cell>
        </row>
        <row r="567">
          <cell r="A567" t="str">
            <v>24000</v>
          </cell>
          <cell r="B567" t="str">
            <v>MATERIALES Y ARTÍCULOS DE CONSTRUCCIÓN Y DE REPARACIÓN</v>
          </cell>
          <cell r="C567" t="str">
            <v>05</v>
          </cell>
          <cell r="F567">
            <v>145011.07</v>
          </cell>
          <cell r="V567">
            <v>64571.15</v>
          </cell>
        </row>
        <row r="568">
          <cell r="A568" t="str">
            <v>24900</v>
          </cell>
          <cell r="B568" t="str">
            <v xml:space="preserve">  Otros materiales y artículos de construcción y reparación</v>
          </cell>
          <cell r="C568" t="str">
            <v>05</v>
          </cell>
          <cell r="F568">
            <v>145011.07</v>
          </cell>
          <cell r="V568">
            <v>64571.15</v>
          </cell>
        </row>
        <row r="569">
          <cell r="A569" t="str">
            <v>24901</v>
          </cell>
          <cell r="B569" t="str">
            <v xml:space="preserve">  Otros materiales y artículos de construcción y reparación</v>
          </cell>
          <cell r="C569" t="str">
            <v>05</v>
          </cell>
          <cell r="F569">
            <v>145011.07</v>
          </cell>
          <cell r="V569">
            <v>64571.15</v>
          </cell>
        </row>
        <row r="570">
          <cell r="A570" t="str">
            <v>25000</v>
          </cell>
          <cell r="B570" t="str">
            <v>PRODUCTOS QUÍMICOS, FARMACÉUTICOS Y DE LABORATORIO</v>
          </cell>
          <cell r="C570" t="str">
            <v>05</v>
          </cell>
          <cell r="F570">
            <v>616671.30000000005</v>
          </cell>
          <cell r="V570">
            <v>41646</v>
          </cell>
        </row>
        <row r="571">
          <cell r="A571" t="str">
            <v>25500</v>
          </cell>
          <cell r="B571" t="str">
            <v xml:space="preserve">  Materiales, accesorios y suministros de laboratorio</v>
          </cell>
          <cell r="C571" t="str">
            <v>05</v>
          </cell>
          <cell r="F571">
            <v>410019.06</v>
          </cell>
          <cell r="V571">
            <v>0</v>
          </cell>
        </row>
        <row r="572">
          <cell r="A572" t="str">
            <v>25501</v>
          </cell>
          <cell r="B572" t="str">
            <v xml:space="preserve">  Materiales, accesorios y suministros de laboratorio</v>
          </cell>
          <cell r="C572" t="str">
            <v>05</v>
          </cell>
          <cell r="F572">
            <v>410019.06</v>
          </cell>
          <cell r="V572">
            <v>0</v>
          </cell>
        </row>
        <row r="573">
          <cell r="A573" t="str">
            <v>25900</v>
          </cell>
          <cell r="B573" t="str">
            <v xml:space="preserve">  Otros productos químicos</v>
          </cell>
          <cell r="C573" t="str">
            <v>05</v>
          </cell>
          <cell r="F573">
            <v>206652.24</v>
          </cell>
          <cell r="V573">
            <v>41646</v>
          </cell>
        </row>
        <row r="574">
          <cell r="A574" t="str">
            <v>25901</v>
          </cell>
          <cell r="B574" t="str">
            <v xml:space="preserve">  Otros productos químicos</v>
          </cell>
          <cell r="C574" t="str">
            <v>05</v>
          </cell>
          <cell r="F574">
            <v>206652.24</v>
          </cell>
          <cell r="V574">
            <v>41646</v>
          </cell>
        </row>
        <row r="575">
          <cell r="A575" t="str">
            <v>26000</v>
          </cell>
          <cell r="B575" t="str">
            <v>COMBUSTIBLES, LUBRICANTES Y ADITIVOS</v>
          </cell>
          <cell r="C575" t="str">
            <v>05</v>
          </cell>
          <cell r="F575">
            <v>216033</v>
          </cell>
          <cell r="V575">
            <v>98122.33</v>
          </cell>
        </row>
        <row r="576">
          <cell r="A576" t="str">
            <v>26100</v>
          </cell>
          <cell r="B576" t="str">
            <v xml:space="preserve">  Combustibles, lubricantes y aditivos</v>
          </cell>
          <cell r="C576" t="str">
            <v>05</v>
          </cell>
          <cell r="F576">
            <v>216033</v>
          </cell>
          <cell r="V576">
            <v>98122.33</v>
          </cell>
        </row>
        <row r="577">
          <cell r="A577" t="str">
            <v>26101</v>
          </cell>
          <cell r="B577" t="str">
            <v xml:space="preserve">  Combustible de Equipo de Transporte</v>
          </cell>
          <cell r="C577" t="str">
            <v>05</v>
          </cell>
          <cell r="F577">
            <v>151383.97</v>
          </cell>
          <cell r="V577">
            <v>51342.92</v>
          </cell>
        </row>
        <row r="578">
          <cell r="A578" t="str">
            <v>26102</v>
          </cell>
          <cell r="B578" t="str">
            <v xml:space="preserve">  Lubricantes y Aditivos Equipo de Transporte</v>
          </cell>
          <cell r="C578" t="str">
            <v>05</v>
          </cell>
          <cell r="F578">
            <v>15000</v>
          </cell>
          <cell r="V578">
            <v>1550</v>
          </cell>
        </row>
        <row r="579">
          <cell r="A579" t="str">
            <v>26111</v>
          </cell>
          <cell r="B579" t="str">
            <v xml:space="preserve">  Combustible, Maquinaria y Equipo</v>
          </cell>
          <cell r="C579" t="str">
            <v>05</v>
          </cell>
          <cell r="F579">
            <v>49649.03</v>
          </cell>
          <cell r="V579">
            <v>45229.41</v>
          </cell>
        </row>
        <row r="580">
          <cell r="A580" t="str">
            <v>27000</v>
          </cell>
          <cell r="B580" t="str">
            <v>VESTUARIO, BLANCOS, PRENDAS DE PROTECCIÓN Y ARTÍCULOS DEPORTIVOS</v>
          </cell>
          <cell r="C580" t="str">
            <v>05</v>
          </cell>
          <cell r="F580">
            <v>54328.92</v>
          </cell>
          <cell r="V580">
            <v>0</v>
          </cell>
        </row>
        <row r="581">
          <cell r="A581" t="str">
            <v>27100</v>
          </cell>
          <cell r="B581" t="str">
            <v xml:space="preserve">  Vestuario y uniformes</v>
          </cell>
          <cell r="C581" t="str">
            <v>05</v>
          </cell>
          <cell r="F581">
            <v>44231.08</v>
          </cell>
          <cell r="V581">
            <v>0</v>
          </cell>
        </row>
        <row r="582">
          <cell r="A582" t="str">
            <v>27101</v>
          </cell>
          <cell r="B582" t="str">
            <v xml:space="preserve">  Vestuario y uniformes</v>
          </cell>
          <cell r="C582" t="str">
            <v>05</v>
          </cell>
          <cell r="F582">
            <v>44231.08</v>
          </cell>
          <cell r="V582">
            <v>0</v>
          </cell>
        </row>
        <row r="583">
          <cell r="A583" t="str">
            <v>27200</v>
          </cell>
          <cell r="B583" t="str">
            <v xml:space="preserve">  Prendas de seguridad y protección personal</v>
          </cell>
          <cell r="C583" t="str">
            <v>05</v>
          </cell>
          <cell r="F583">
            <v>10097.84</v>
          </cell>
          <cell r="V583">
            <v>0</v>
          </cell>
        </row>
        <row r="584">
          <cell r="A584" t="str">
            <v>27201</v>
          </cell>
          <cell r="B584" t="str">
            <v xml:space="preserve">  Prendas de seguridad y protección personal</v>
          </cell>
          <cell r="C584" t="str">
            <v>05</v>
          </cell>
          <cell r="F584">
            <v>10097.84</v>
          </cell>
          <cell r="V584">
            <v>0</v>
          </cell>
        </row>
        <row r="585">
          <cell r="A585" t="str">
            <v>29000</v>
          </cell>
          <cell r="B585" t="str">
            <v>HERRAMIENTAS, REFACCIONES Y ACCESORIOS MENORES</v>
          </cell>
          <cell r="C585" t="str">
            <v>05</v>
          </cell>
          <cell r="F585">
            <v>264855.84999999998</v>
          </cell>
          <cell r="V585">
            <v>26364.29</v>
          </cell>
        </row>
        <row r="586">
          <cell r="A586" t="str">
            <v>29100</v>
          </cell>
          <cell r="B586" t="str">
            <v xml:space="preserve">  Herramientas menores</v>
          </cell>
          <cell r="C586" t="str">
            <v>05</v>
          </cell>
          <cell r="F586">
            <v>25000</v>
          </cell>
          <cell r="V586">
            <v>2607.85</v>
          </cell>
        </row>
        <row r="587">
          <cell r="A587" t="str">
            <v>29101</v>
          </cell>
          <cell r="B587" t="str">
            <v xml:space="preserve">  Herramientas menores</v>
          </cell>
          <cell r="C587" t="str">
            <v>05</v>
          </cell>
          <cell r="F587">
            <v>25000</v>
          </cell>
          <cell r="V587">
            <v>2607.85</v>
          </cell>
        </row>
        <row r="588">
          <cell r="A588" t="str">
            <v>29400</v>
          </cell>
          <cell r="B588" t="str">
            <v xml:space="preserve">  Refacciones y accesorios menores de equipo de cómputo y tecnologías de la información</v>
          </cell>
          <cell r="C588" t="str">
            <v>05</v>
          </cell>
          <cell r="F588">
            <v>1000</v>
          </cell>
          <cell r="V588">
            <v>0</v>
          </cell>
        </row>
        <row r="589">
          <cell r="A589" t="str">
            <v>29401</v>
          </cell>
          <cell r="B589" t="str">
            <v xml:space="preserve">  Refacciones y accesorios menores de equipo de cómputo y tecnologías de la información</v>
          </cell>
          <cell r="C589" t="str">
            <v>05</v>
          </cell>
          <cell r="F589">
            <v>1000</v>
          </cell>
          <cell r="V589">
            <v>0</v>
          </cell>
        </row>
        <row r="590">
          <cell r="A590" t="str">
            <v>29500</v>
          </cell>
          <cell r="B590" t="str">
            <v xml:space="preserve">  Refacciones y accesorios menores de equipo e instrumental médico y de laboratorio</v>
          </cell>
          <cell r="C590" t="str">
            <v>05</v>
          </cell>
          <cell r="F590">
            <v>145500</v>
          </cell>
          <cell r="V590">
            <v>15156.44</v>
          </cell>
        </row>
        <row r="591">
          <cell r="A591" t="str">
            <v>29501</v>
          </cell>
          <cell r="B591" t="str">
            <v xml:space="preserve">  Refacciones y accesorios menores de equipo e instrumental médico y de laboratorio</v>
          </cell>
          <cell r="C591" t="str">
            <v>05</v>
          </cell>
          <cell r="F591">
            <v>145500</v>
          </cell>
          <cell r="V591">
            <v>15156.44</v>
          </cell>
        </row>
        <row r="592">
          <cell r="A592" t="str">
            <v>29600</v>
          </cell>
          <cell r="B592" t="str">
            <v xml:space="preserve">  Refacciones y accesorios menores de equipo de transporte</v>
          </cell>
          <cell r="C592" t="str">
            <v>05</v>
          </cell>
          <cell r="F592">
            <v>10515.77</v>
          </cell>
          <cell r="V592">
            <v>5900</v>
          </cell>
        </row>
        <row r="593">
          <cell r="A593" t="str">
            <v>29601</v>
          </cell>
          <cell r="B593" t="str">
            <v xml:space="preserve">  Refacciones y accesorios menores de equipo de transporte</v>
          </cell>
          <cell r="C593" t="str">
            <v>05</v>
          </cell>
          <cell r="F593">
            <v>10515.77</v>
          </cell>
          <cell r="V593">
            <v>5900</v>
          </cell>
        </row>
        <row r="594">
          <cell r="A594" t="str">
            <v>29800</v>
          </cell>
          <cell r="B594" t="str">
            <v xml:space="preserve">  Refacciones y accesorios menores de maquinaria y otros equipos</v>
          </cell>
          <cell r="C594" t="str">
            <v>05</v>
          </cell>
          <cell r="F594">
            <v>82840.08</v>
          </cell>
          <cell r="V594">
            <v>2700</v>
          </cell>
        </row>
        <row r="595">
          <cell r="A595" t="str">
            <v>29801</v>
          </cell>
          <cell r="B595" t="str">
            <v xml:space="preserve">  Refacciones y accesorios menores de maquinaria y otros equipos</v>
          </cell>
          <cell r="C595" t="str">
            <v>05</v>
          </cell>
          <cell r="F595">
            <v>82840.08</v>
          </cell>
          <cell r="V595">
            <v>2700</v>
          </cell>
        </row>
        <row r="596">
          <cell r="A596" t="str">
            <v>30000</v>
          </cell>
          <cell r="B596" t="str">
            <v>SERVICIOS GENERALES</v>
          </cell>
          <cell r="C596" t="str">
            <v>05</v>
          </cell>
          <cell r="F596">
            <v>901032.53</v>
          </cell>
          <cell r="V596">
            <v>273876.65999999997</v>
          </cell>
        </row>
        <row r="597">
          <cell r="A597" t="str">
            <v>31000</v>
          </cell>
          <cell r="B597" t="str">
            <v>SERVICIOS BÁSICOS</v>
          </cell>
          <cell r="C597" t="str">
            <v>05</v>
          </cell>
          <cell r="F597">
            <v>102864.79</v>
          </cell>
          <cell r="V597">
            <v>60367.1</v>
          </cell>
        </row>
        <row r="598">
          <cell r="A598" t="str">
            <v>31100</v>
          </cell>
          <cell r="B598" t="str">
            <v xml:space="preserve">  Energía eléctrica</v>
          </cell>
          <cell r="C598" t="str">
            <v>05</v>
          </cell>
          <cell r="F598">
            <v>61000</v>
          </cell>
          <cell r="V598">
            <v>44145.34</v>
          </cell>
        </row>
        <row r="599">
          <cell r="A599" t="str">
            <v>31101</v>
          </cell>
          <cell r="B599" t="str">
            <v xml:space="preserve">  Energía eléctrica</v>
          </cell>
          <cell r="C599" t="str">
            <v>05</v>
          </cell>
          <cell r="F599">
            <v>61000</v>
          </cell>
          <cell r="V599">
            <v>44145.34</v>
          </cell>
        </row>
        <row r="600">
          <cell r="A600" t="str">
            <v>31200</v>
          </cell>
          <cell r="B600" t="str">
            <v xml:space="preserve">  Gas</v>
          </cell>
          <cell r="C600" t="str">
            <v>05</v>
          </cell>
          <cell r="F600">
            <v>30000</v>
          </cell>
          <cell r="V600">
            <v>8995.19</v>
          </cell>
        </row>
        <row r="601">
          <cell r="A601" t="str">
            <v>31201</v>
          </cell>
          <cell r="B601" t="str">
            <v xml:space="preserve">  Gas</v>
          </cell>
          <cell r="C601" t="str">
            <v>05</v>
          </cell>
          <cell r="F601">
            <v>30000</v>
          </cell>
          <cell r="V601">
            <v>8995.19</v>
          </cell>
        </row>
        <row r="602">
          <cell r="A602" t="str">
            <v>31300</v>
          </cell>
          <cell r="B602" t="str">
            <v xml:space="preserve">  Agua</v>
          </cell>
          <cell r="C602" t="str">
            <v>05</v>
          </cell>
          <cell r="F602">
            <v>5029.1499999999996</v>
          </cell>
          <cell r="V602">
            <v>667.83</v>
          </cell>
        </row>
        <row r="603">
          <cell r="A603" t="str">
            <v>31301</v>
          </cell>
          <cell r="B603" t="str">
            <v xml:space="preserve">  Agua</v>
          </cell>
          <cell r="C603" t="str">
            <v>05</v>
          </cell>
          <cell r="F603">
            <v>5029.1499999999996</v>
          </cell>
          <cell r="V603">
            <v>667.83</v>
          </cell>
        </row>
        <row r="604">
          <cell r="A604" t="str">
            <v>31400</v>
          </cell>
          <cell r="B604" t="str">
            <v xml:space="preserve">  Telefonía tradicional</v>
          </cell>
          <cell r="C604" t="str">
            <v>05</v>
          </cell>
          <cell r="F604">
            <v>6835.64</v>
          </cell>
          <cell r="V604">
            <v>6558.74</v>
          </cell>
        </row>
        <row r="605">
          <cell r="A605" t="str">
            <v>31401</v>
          </cell>
          <cell r="B605" t="str">
            <v xml:space="preserve">  Telefonía tradicional</v>
          </cell>
          <cell r="C605" t="str">
            <v>05</v>
          </cell>
          <cell r="F605">
            <v>6835.64</v>
          </cell>
          <cell r="V605">
            <v>6558.74</v>
          </cell>
        </row>
        <row r="606">
          <cell r="A606" t="str">
            <v>33000</v>
          </cell>
          <cell r="B606" t="str">
            <v>SERVICIOS PROFESIONALES, CIENTÍFICOS, TÉCNICOS Y OTROS SERVICIOS</v>
          </cell>
          <cell r="C606" t="str">
            <v>05</v>
          </cell>
          <cell r="F606">
            <v>264026.78999999998</v>
          </cell>
          <cell r="V606">
            <v>123395.45</v>
          </cell>
        </row>
        <row r="607">
          <cell r="A607" t="str">
            <v>33400</v>
          </cell>
          <cell r="B607" t="str">
            <v xml:space="preserve">  Servicios de capacitación</v>
          </cell>
          <cell r="C607" t="str">
            <v>05</v>
          </cell>
          <cell r="F607">
            <v>30010.1</v>
          </cell>
          <cell r="V607">
            <v>0</v>
          </cell>
        </row>
        <row r="608">
          <cell r="A608" t="str">
            <v>33401</v>
          </cell>
          <cell r="B608" t="str">
            <v xml:space="preserve">  Servicios de capacitación</v>
          </cell>
          <cell r="C608" t="str">
            <v>05</v>
          </cell>
          <cell r="F608">
            <v>30010.1</v>
          </cell>
          <cell r="V608">
            <v>0</v>
          </cell>
        </row>
        <row r="609">
          <cell r="A609" t="str">
            <v>33600</v>
          </cell>
          <cell r="B609" t="str">
            <v xml:space="preserve">  Servicios de apoyo administrativo, traducción, fotocopiado e impresión</v>
          </cell>
          <cell r="C609" t="str">
            <v>05</v>
          </cell>
          <cell r="F609">
            <v>13014.2</v>
          </cell>
          <cell r="V609">
            <v>13014</v>
          </cell>
        </row>
        <row r="610">
          <cell r="A610" t="str">
            <v>33601</v>
          </cell>
          <cell r="B610" t="str">
            <v xml:space="preserve">  Servicios de apoyo administrativo, fotocopiado e impresión</v>
          </cell>
          <cell r="C610" t="str">
            <v>05</v>
          </cell>
          <cell r="F610">
            <v>13014.2</v>
          </cell>
          <cell r="V610">
            <v>13014</v>
          </cell>
        </row>
        <row r="611">
          <cell r="A611" t="str">
            <v>33900</v>
          </cell>
          <cell r="B611" t="str">
            <v xml:space="preserve">  Servicios profesionales, científicos y técnicos integrales</v>
          </cell>
          <cell r="C611" t="str">
            <v>05</v>
          </cell>
          <cell r="F611">
            <v>221002.49</v>
          </cell>
          <cell r="V611">
            <v>110381.45</v>
          </cell>
        </row>
        <row r="612">
          <cell r="A612" t="str">
            <v>33901</v>
          </cell>
          <cell r="B612" t="str">
            <v xml:space="preserve">  Servicios profesionales, científicos y técnicos integrales</v>
          </cell>
          <cell r="C612" t="str">
            <v>05</v>
          </cell>
          <cell r="F612">
            <v>221002.49</v>
          </cell>
          <cell r="V612">
            <v>110381.45</v>
          </cell>
        </row>
        <row r="613">
          <cell r="A613" t="str">
            <v>34000</v>
          </cell>
          <cell r="B613" t="str">
            <v>SERVICIOS FINANCIEROS, BANCARIOS Y COMERCIALES</v>
          </cell>
          <cell r="C613" t="str">
            <v>05</v>
          </cell>
          <cell r="F613">
            <v>46719.15</v>
          </cell>
          <cell r="V613">
            <v>0</v>
          </cell>
        </row>
        <row r="614">
          <cell r="A614" t="str">
            <v>34500</v>
          </cell>
          <cell r="B614" t="str">
            <v xml:space="preserve">  Seguro de bienes patrimoniales</v>
          </cell>
          <cell r="C614" t="str">
            <v>05</v>
          </cell>
          <cell r="F614">
            <v>21719.15</v>
          </cell>
          <cell r="V614">
            <v>0</v>
          </cell>
        </row>
        <row r="615">
          <cell r="A615" t="str">
            <v>34501</v>
          </cell>
          <cell r="B615" t="str">
            <v xml:space="preserve">  Seguro de bienes patrimoniales</v>
          </cell>
          <cell r="C615" t="str">
            <v>05</v>
          </cell>
          <cell r="F615">
            <v>21719.15</v>
          </cell>
          <cell r="V615">
            <v>0</v>
          </cell>
        </row>
        <row r="616">
          <cell r="A616" t="str">
            <v>34700</v>
          </cell>
          <cell r="B616" t="str">
            <v xml:space="preserve">  Fletes y maniobras</v>
          </cell>
          <cell r="C616" t="str">
            <v>05</v>
          </cell>
          <cell r="F616">
            <v>25000</v>
          </cell>
          <cell r="V616">
            <v>0</v>
          </cell>
        </row>
        <row r="617">
          <cell r="A617" t="str">
            <v>34701</v>
          </cell>
          <cell r="B617" t="str">
            <v xml:space="preserve">  Fletes y maniobras</v>
          </cell>
          <cell r="C617" t="str">
            <v>05</v>
          </cell>
          <cell r="F617">
            <v>25000</v>
          </cell>
          <cell r="V617">
            <v>0</v>
          </cell>
        </row>
        <row r="618">
          <cell r="A618" t="str">
            <v>35000</v>
          </cell>
          <cell r="B618" t="str">
            <v>SERVICIOS DE INSTALACIÓN, REPARACIÓN, MANTENIMIENTO Y CONSERVACIÓN</v>
          </cell>
          <cell r="C618" t="str">
            <v>05</v>
          </cell>
          <cell r="F618">
            <v>239873.66</v>
          </cell>
          <cell r="V618">
            <v>74986.210000000006</v>
          </cell>
        </row>
        <row r="619">
          <cell r="A619" t="str">
            <v>35100</v>
          </cell>
          <cell r="B619" t="str">
            <v xml:space="preserve">  Conservación y mantenimiento menor de inmuebles</v>
          </cell>
          <cell r="C619" t="str">
            <v>05</v>
          </cell>
          <cell r="F619">
            <v>170079.08</v>
          </cell>
          <cell r="V619">
            <v>73400</v>
          </cell>
        </row>
        <row r="620">
          <cell r="A620" t="str">
            <v>35101</v>
          </cell>
          <cell r="B620" t="str">
            <v xml:space="preserve">  Conservación y mantenimiento menor de inmuebles</v>
          </cell>
          <cell r="C620" t="str">
            <v>05</v>
          </cell>
          <cell r="F620">
            <v>170079.08</v>
          </cell>
          <cell r="V620">
            <v>73400</v>
          </cell>
        </row>
        <row r="621">
          <cell r="A621" t="str">
            <v>35400</v>
          </cell>
          <cell r="B621" t="str">
            <v xml:space="preserve">  Instalación, reparación y mantenimiento de equipo e instrumental médico y de laboratorio</v>
          </cell>
          <cell r="C621" t="str">
            <v>05</v>
          </cell>
          <cell r="F621">
            <v>54711.51</v>
          </cell>
          <cell r="V621">
            <v>0</v>
          </cell>
        </row>
        <row r="622">
          <cell r="A622" t="str">
            <v>35401</v>
          </cell>
          <cell r="B622" t="str">
            <v xml:space="preserve">  Instalación, reparación y mantenimiento de equipo e instrumental médico y de laboratorio</v>
          </cell>
          <cell r="C622" t="str">
            <v>05</v>
          </cell>
          <cell r="F622">
            <v>54711.51</v>
          </cell>
          <cell r="V622">
            <v>0</v>
          </cell>
        </row>
        <row r="623">
          <cell r="A623" t="str">
            <v>35500</v>
          </cell>
          <cell r="B623" t="str">
            <v xml:space="preserve">  Reparación y mantenimiento de equipo de transporte</v>
          </cell>
          <cell r="C623" t="str">
            <v>05</v>
          </cell>
          <cell r="F623">
            <v>15083.07</v>
          </cell>
          <cell r="V623">
            <v>1586.21</v>
          </cell>
        </row>
        <row r="624">
          <cell r="A624" t="str">
            <v>35501</v>
          </cell>
          <cell r="B624" t="str">
            <v xml:space="preserve">  Reparación y mantenimiento de equipo de transporte</v>
          </cell>
          <cell r="C624" t="str">
            <v>05</v>
          </cell>
          <cell r="F624">
            <v>15083.07</v>
          </cell>
          <cell r="V624">
            <v>1586.21</v>
          </cell>
        </row>
        <row r="625">
          <cell r="A625" t="str">
            <v>37000</v>
          </cell>
          <cell r="B625" t="str">
            <v>SERVICIOS DE TRASLADOS Y VIÁTICOS</v>
          </cell>
          <cell r="C625" t="str">
            <v>05</v>
          </cell>
          <cell r="F625">
            <v>69980.23</v>
          </cell>
          <cell r="V625">
            <v>15127.9</v>
          </cell>
        </row>
        <row r="626">
          <cell r="A626" t="str">
            <v>37500</v>
          </cell>
          <cell r="B626" t="str">
            <v xml:space="preserve">  Viáticos en el país</v>
          </cell>
          <cell r="C626" t="str">
            <v>05</v>
          </cell>
          <cell r="F626">
            <v>69980.23</v>
          </cell>
          <cell r="V626">
            <v>15127.9</v>
          </cell>
        </row>
        <row r="627">
          <cell r="A627" t="str">
            <v>37501</v>
          </cell>
          <cell r="B627" t="str">
            <v xml:space="preserve">  Viáticos en el país</v>
          </cell>
          <cell r="C627" t="str">
            <v>05</v>
          </cell>
          <cell r="F627">
            <v>10284.719999999999</v>
          </cell>
          <cell r="V627">
            <v>6768.55</v>
          </cell>
        </row>
        <row r="628">
          <cell r="A628" t="str">
            <v>37502</v>
          </cell>
          <cell r="B628" t="str">
            <v xml:space="preserve">  Viaticos Consulta Medica</v>
          </cell>
          <cell r="C628" t="str">
            <v>05</v>
          </cell>
          <cell r="F628">
            <v>59695.51</v>
          </cell>
          <cell r="V628">
            <v>8359.35</v>
          </cell>
        </row>
        <row r="629">
          <cell r="A629" t="str">
            <v>38000</v>
          </cell>
          <cell r="B629" t="str">
            <v>SERVICIOS OFICIALES</v>
          </cell>
          <cell r="C629" t="str">
            <v>05</v>
          </cell>
          <cell r="F629">
            <v>5000</v>
          </cell>
          <cell r="V629">
            <v>0</v>
          </cell>
        </row>
        <row r="630">
          <cell r="A630" t="str">
            <v>38300</v>
          </cell>
          <cell r="B630" t="str">
            <v xml:space="preserve">  Congresos y convenciones</v>
          </cell>
          <cell r="C630" t="str">
            <v>05</v>
          </cell>
          <cell r="F630">
            <v>5000</v>
          </cell>
          <cell r="V630">
            <v>0</v>
          </cell>
        </row>
        <row r="631">
          <cell r="A631" t="str">
            <v>38301</v>
          </cell>
          <cell r="B631" t="str">
            <v xml:space="preserve">  Congresos y convenciones</v>
          </cell>
          <cell r="C631" t="str">
            <v>05</v>
          </cell>
          <cell r="F631">
            <v>5000</v>
          </cell>
          <cell r="V631">
            <v>0</v>
          </cell>
        </row>
        <row r="632">
          <cell r="A632" t="str">
            <v>39000</v>
          </cell>
          <cell r="B632" t="str">
            <v>OTROS SERVICIOS GENERALES</v>
          </cell>
          <cell r="C632" t="str">
            <v>05</v>
          </cell>
          <cell r="F632">
            <v>172567.91</v>
          </cell>
          <cell r="V632">
            <v>0</v>
          </cell>
        </row>
        <row r="633">
          <cell r="A633" t="str">
            <v>39900</v>
          </cell>
          <cell r="B633" t="str">
            <v xml:space="preserve">  Otros servicios generales</v>
          </cell>
          <cell r="C633" t="str">
            <v>05</v>
          </cell>
          <cell r="F633">
            <v>172567.91</v>
          </cell>
          <cell r="V633">
            <v>0</v>
          </cell>
        </row>
        <row r="634">
          <cell r="A634" t="str">
            <v>39901</v>
          </cell>
          <cell r="B634" t="str">
            <v xml:space="preserve">  Otros servicios generales</v>
          </cell>
          <cell r="C634" t="str">
            <v>05</v>
          </cell>
          <cell r="F634">
            <v>172567.91</v>
          </cell>
          <cell r="V634">
            <v>0</v>
          </cell>
        </row>
        <row r="635">
          <cell r="A635" t="str">
            <v>40000</v>
          </cell>
          <cell r="B635" t="str">
            <v>TRANSFERENCIAS, ASIGNACIONES, SUBSIDIOS Y OTRAS AYUDAS</v>
          </cell>
          <cell r="C635" t="str">
            <v>05</v>
          </cell>
          <cell r="F635">
            <v>176967.86</v>
          </cell>
          <cell r="V635">
            <v>103133.24</v>
          </cell>
        </row>
        <row r="636">
          <cell r="A636" t="str">
            <v>41000</v>
          </cell>
          <cell r="B636" t="str">
            <v>TRANSFERENCIAS INTERNAS Y ASIGNACIONES AL SECTOR PÚBLICO</v>
          </cell>
          <cell r="C636" t="str">
            <v>05</v>
          </cell>
          <cell r="F636">
            <v>176967.86</v>
          </cell>
          <cell r="V636">
            <v>103133.24</v>
          </cell>
        </row>
        <row r="637">
          <cell r="A637" t="str">
            <v>41500</v>
          </cell>
          <cell r="B637" t="str">
            <v xml:space="preserve">  Transferencias internas otorgadas a entidades paraestatales no empresariales y no financieras</v>
          </cell>
          <cell r="C637" t="str">
            <v>05</v>
          </cell>
          <cell r="F637">
            <v>176967.86</v>
          </cell>
          <cell r="V637">
            <v>103133.24</v>
          </cell>
        </row>
        <row r="638">
          <cell r="A638" t="str">
            <v>41503</v>
          </cell>
          <cell r="B638" t="str">
            <v xml:space="preserve">  Diferencial de servicio medico pensiones</v>
          </cell>
          <cell r="C638" t="str">
            <v>05</v>
          </cell>
          <cell r="F638">
            <v>176967.86</v>
          </cell>
          <cell r="V638">
            <v>103133.24</v>
          </cell>
        </row>
        <row r="639">
          <cell r="A639" t="str">
            <v>50000</v>
          </cell>
          <cell r="B639" t="str">
            <v>BIENES MUEBLES, INMUEBLES E INTANGIBLES</v>
          </cell>
          <cell r="C639" t="str">
            <v>05</v>
          </cell>
          <cell r="F639">
            <v>120000</v>
          </cell>
          <cell r="V639">
            <v>38999</v>
          </cell>
        </row>
        <row r="640">
          <cell r="A640" t="str">
            <v>51000</v>
          </cell>
          <cell r="B640" t="str">
            <v>MOBILIARIO Y EQUIPO DE ADMINISTRACIÓN</v>
          </cell>
          <cell r="C640" t="str">
            <v>05</v>
          </cell>
          <cell r="F640">
            <v>20000</v>
          </cell>
          <cell r="V640">
            <v>18000</v>
          </cell>
        </row>
        <row r="641">
          <cell r="A641" t="str">
            <v>51100</v>
          </cell>
          <cell r="B641" t="str">
            <v xml:space="preserve">  Muebles de oficina y estantería</v>
          </cell>
          <cell r="C641" t="str">
            <v>05</v>
          </cell>
          <cell r="F641">
            <v>20000</v>
          </cell>
          <cell r="V641">
            <v>18000</v>
          </cell>
        </row>
        <row r="642">
          <cell r="A642" t="str">
            <v>51101</v>
          </cell>
          <cell r="B642" t="str">
            <v xml:space="preserve">  Muebles de oficina y estantería</v>
          </cell>
          <cell r="C642" t="str">
            <v>05</v>
          </cell>
          <cell r="F642">
            <v>20000</v>
          </cell>
          <cell r="V642">
            <v>18000</v>
          </cell>
        </row>
        <row r="643">
          <cell r="A643" t="str">
            <v>53000</v>
          </cell>
          <cell r="B643" t="str">
            <v>EQUIPO E INSTRUMENTAL MÉDICO Y DE LABORATORIO</v>
          </cell>
          <cell r="C643" t="str">
            <v>05</v>
          </cell>
          <cell r="F643">
            <v>100000</v>
          </cell>
          <cell r="V643">
            <v>20999</v>
          </cell>
        </row>
        <row r="644">
          <cell r="A644" t="str">
            <v>53100</v>
          </cell>
          <cell r="B644" t="str">
            <v xml:space="preserve">  Equipo médico y de laboratorio</v>
          </cell>
          <cell r="C644" t="str">
            <v>05</v>
          </cell>
          <cell r="F644">
            <v>100000</v>
          </cell>
          <cell r="V644">
            <v>20999</v>
          </cell>
        </row>
        <row r="645">
          <cell r="A645" t="str">
            <v>53101</v>
          </cell>
          <cell r="B645" t="str">
            <v xml:space="preserve">  Equipo médico y de laboratorio</v>
          </cell>
          <cell r="C645" t="str">
            <v>05</v>
          </cell>
          <cell r="F645">
            <v>100000</v>
          </cell>
          <cell r="V645">
            <v>20999</v>
          </cell>
        </row>
        <row r="646">
          <cell r="A646" t="str">
            <v>60000</v>
          </cell>
          <cell r="B646" t="str">
            <v>INVERSIÓN PÚBLICA</v>
          </cell>
          <cell r="C646" t="str">
            <v>05</v>
          </cell>
          <cell r="F646">
            <v>50000</v>
          </cell>
          <cell r="V646">
            <v>0</v>
          </cell>
        </row>
        <row r="647">
          <cell r="A647" t="str">
            <v>62000</v>
          </cell>
          <cell r="B647" t="str">
            <v>OBRA PÚBLICA EN BIENES PROPIOS</v>
          </cell>
          <cell r="C647" t="str">
            <v>05</v>
          </cell>
          <cell r="F647">
            <v>50000</v>
          </cell>
          <cell r="V647">
            <v>0</v>
          </cell>
        </row>
        <row r="648">
          <cell r="A648" t="str">
            <v>62200</v>
          </cell>
          <cell r="B648" t="str">
            <v xml:space="preserve">  Edificación no habitacional</v>
          </cell>
          <cell r="C648" t="str">
            <v>05</v>
          </cell>
          <cell r="F648">
            <v>50000</v>
          </cell>
          <cell r="V648">
            <v>0</v>
          </cell>
        </row>
        <row r="649">
          <cell r="A649" t="str">
            <v>62201</v>
          </cell>
          <cell r="B649" t="str">
            <v xml:space="preserve">  Edificación no habitacional</v>
          </cell>
          <cell r="C649" t="str">
            <v>05</v>
          </cell>
          <cell r="F649">
            <v>50000</v>
          </cell>
          <cell r="V649">
            <v>0</v>
          </cell>
        </row>
        <row r="650">
          <cell r="B650" t="str">
            <v xml:space="preserve">  LABORATORIO</v>
          </cell>
          <cell r="F650">
            <v>4816476.8099999996</v>
          </cell>
          <cell r="V650">
            <v>1756175.78</v>
          </cell>
        </row>
        <row r="652">
          <cell r="B652" t="str">
            <v xml:space="preserve">  Total Final</v>
          </cell>
          <cell r="F652">
            <v>98010479.400000006</v>
          </cell>
          <cell r="V652">
            <v>47908675.75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 filterMode="1">
    <tabColor rgb="FFFF3300"/>
    <pageSetUpPr fitToPage="1"/>
  </sheetPr>
  <dimension ref="A1:BT196"/>
  <sheetViews>
    <sheetView tabSelected="1" topLeftCell="A57" zoomScaleNormal="100" zoomScaleSheetLayoutView="100" workbookViewId="0">
      <selection activeCell="G200" sqref="G200"/>
    </sheetView>
  </sheetViews>
  <sheetFormatPr baseColWidth="10" defaultRowHeight="12.75" x14ac:dyDescent="0.2"/>
  <cols>
    <col min="1" max="1" width="11.140625" style="8" customWidth="1"/>
    <col min="2" max="2" width="10.28515625" style="89" hidden="1" customWidth="1"/>
    <col min="3" max="3" width="85.140625" style="8" customWidth="1"/>
    <col min="4" max="5" width="20.140625" style="90" hidden="1" customWidth="1"/>
    <col min="6" max="6" width="16.85546875" style="90" customWidth="1"/>
    <col min="7" max="7" width="83.140625" style="8" customWidth="1"/>
    <col min="8" max="8" width="21" style="90" hidden="1" customWidth="1"/>
    <col min="9" max="9" width="15.42578125" style="90" hidden="1" customWidth="1"/>
    <col min="10" max="10" width="2.42578125" style="91" hidden="1" customWidth="1"/>
    <col min="11" max="11" width="13.140625" style="92" hidden="1" customWidth="1"/>
    <col min="12" max="12" width="15" style="92" hidden="1" customWidth="1"/>
    <col min="13" max="15" width="13.85546875" style="92" hidden="1" customWidth="1"/>
    <col min="16" max="17" width="7.7109375" style="93" hidden="1" customWidth="1"/>
    <col min="18" max="18" width="10.140625" style="8" hidden="1" customWidth="1"/>
    <col min="19" max="19" width="3.85546875" style="8" hidden="1" customWidth="1"/>
    <col min="20" max="20" width="10.28515625" style="8" hidden="1" customWidth="1"/>
    <col min="21" max="21" width="3" style="8" hidden="1" customWidth="1"/>
    <col min="22" max="22" width="12.7109375" style="92" hidden="1" customWidth="1"/>
    <col min="23" max="23" width="9.85546875" style="8" hidden="1" customWidth="1"/>
    <col min="24" max="24" width="12.7109375" style="92" hidden="1" customWidth="1"/>
    <col min="25" max="25" width="12.7109375" style="8" hidden="1" customWidth="1"/>
    <col min="26" max="26" width="12.7109375" style="92" hidden="1" customWidth="1"/>
    <col min="27" max="27" width="12.7109375" style="8" hidden="1" customWidth="1"/>
    <col min="28" max="72" width="0" style="8" hidden="1" customWidth="1"/>
    <col min="73" max="16384" width="11.42578125" style="8"/>
  </cols>
  <sheetData>
    <row r="1" spans="1:72" ht="18" x14ac:dyDescent="0.2">
      <c r="A1" s="95" t="str">
        <f>[1]Parametros!A1</f>
        <v xml:space="preserve">JUNTA MUNICIPAL DE AGUA Y SANEAMIENTO DE NUEVO CASAS GRANDES </v>
      </c>
      <c r="B1" s="95"/>
      <c r="C1" s="95"/>
      <c r="D1" s="95"/>
      <c r="E1" s="95"/>
      <c r="F1" s="95"/>
      <c r="G1" s="95"/>
      <c r="H1" s="1"/>
      <c r="I1" s="1"/>
      <c r="J1" s="2"/>
      <c r="K1" s="3"/>
      <c r="L1" s="3"/>
      <c r="M1" s="3"/>
      <c r="N1" s="3"/>
      <c r="O1" s="3"/>
      <c r="P1" s="4"/>
      <c r="Q1" s="4"/>
      <c r="R1" s="5"/>
      <c r="S1" s="5"/>
      <c r="T1" s="5"/>
      <c r="U1" s="6"/>
      <c r="V1" s="7"/>
      <c r="W1" s="6"/>
      <c r="X1" s="7"/>
      <c r="Y1" s="6"/>
      <c r="Z1" s="7"/>
      <c r="AA1" s="6"/>
      <c r="AB1" s="6"/>
      <c r="AC1" s="6"/>
      <c r="AD1" s="6"/>
      <c r="AE1" s="6"/>
      <c r="AF1" s="6"/>
      <c r="AG1" s="6"/>
    </row>
    <row r="2" spans="1:72" ht="14.25" customHeight="1" x14ac:dyDescent="0.2">
      <c r="A2" s="94"/>
      <c r="B2" s="94"/>
      <c r="C2" s="94"/>
      <c r="D2" s="94"/>
      <c r="E2" s="94"/>
      <c r="F2" s="94"/>
      <c r="G2" s="94"/>
      <c r="H2" s="9"/>
      <c r="I2" s="9"/>
      <c r="J2" s="2"/>
      <c r="K2" s="7"/>
      <c r="L2" s="7"/>
      <c r="M2" s="7"/>
      <c r="N2" s="7"/>
      <c r="O2" s="7"/>
      <c r="P2" s="10"/>
      <c r="Q2" s="10"/>
      <c r="R2" s="11"/>
      <c r="S2" s="11"/>
      <c r="T2" s="11"/>
      <c r="U2" s="6"/>
      <c r="V2" s="7"/>
      <c r="W2" s="6"/>
      <c r="X2" s="7"/>
      <c r="Y2" s="6"/>
      <c r="Z2" s="7"/>
      <c r="AA2" s="6"/>
      <c r="AB2" s="6"/>
      <c r="AC2" s="6"/>
      <c r="AD2" s="6"/>
      <c r="AE2" s="6"/>
      <c r="AF2" s="6"/>
      <c r="AG2" s="6"/>
    </row>
    <row r="3" spans="1:72" ht="20.25" customHeight="1" x14ac:dyDescent="0.2">
      <c r="A3" s="96" t="str">
        <f>+[1]Indice!A3</f>
        <v>Presupuesto 2023</v>
      </c>
      <c r="B3" s="96"/>
      <c r="C3" s="96"/>
      <c r="D3" s="96"/>
      <c r="E3" s="96"/>
      <c r="F3" s="96"/>
      <c r="G3" s="96"/>
      <c r="H3" s="12"/>
      <c r="I3" s="12"/>
      <c r="J3" s="2"/>
      <c r="K3" s="13" t="s">
        <v>0</v>
      </c>
      <c r="L3" s="14"/>
      <c r="M3" s="14"/>
      <c r="N3" s="14"/>
      <c r="O3" s="14"/>
      <c r="P3" s="15"/>
      <c r="Q3" s="15"/>
      <c r="R3" s="16"/>
      <c r="S3" s="16"/>
      <c r="T3" s="16"/>
      <c r="U3" s="6"/>
      <c r="V3" s="7"/>
      <c r="W3" s="6"/>
      <c r="X3" s="7"/>
      <c r="Y3" s="6"/>
      <c r="Z3" s="7"/>
      <c r="AA3" s="6"/>
      <c r="AB3" s="6"/>
      <c r="AC3" s="6"/>
      <c r="AD3" s="6"/>
      <c r="AE3" s="6"/>
      <c r="AF3" s="6"/>
      <c r="AG3" s="6"/>
    </row>
    <row r="4" spans="1:72" ht="16.5" customHeight="1" x14ac:dyDescent="0.2">
      <c r="A4" s="17"/>
      <c r="B4" s="18"/>
      <c r="C4" s="17"/>
      <c r="D4" s="19"/>
      <c r="E4" s="19"/>
      <c r="F4" s="19"/>
      <c r="G4" s="17"/>
      <c r="H4" s="12"/>
      <c r="I4" s="12"/>
      <c r="J4" s="2"/>
      <c r="K4" s="97" t="s">
        <v>1</v>
      </c>
      <c r="L4" s="98"/>
      <c r="M4" s="98"/>
      <c r="N4" s="98"/>
      <c r="O4" s="98"/>
      <c r="P4" s="20"/>
      <c r="Q4" s="20"/>
      <c r="R4" s="6"/>
      <c r="S4" s="16"/>
      <c r="T4" s="16"/>
      <c r="U4" s="6"/>
      <c r="V4" s="7"/>
      <c r="W4" s="6"/>
      <c r="X4" s="7"/>
      <c r="Y4" s="6"/>
      <c r="Z4" s="7"/>
      <c r="AA4" s="6"/>
      <c r="AB4" s="6"/>
      <c r="AC4" s="6"/>
      <c r="AD4" s="6"/>
      <c r="AE4" s="6"/>
      <c r="AF4" s="6"/>
      <c r="AG4" s="6"/>
    </row>
    <row r="5" spans="1:72" ht="18" x14ac:dyDescent="0.2">
      <c r="A5" s="99" t="s">
        <v>2</v>
      </c>
      <c r="B5" s="99"/>
      <c r="C5" s="99"/>
      <c r="D5" s="99"/>
      <c r="E5" s="99"/>
      <c r="F5" s="99"/>
      <c r="G5" s="99"/>
      <c r="H5" s="12"/>
      <c r="I5" s="12"/>
      <c r="J5" s="2"/>
      <c r="K5" s="21">
        <v>1</v>
      </c>
      <c r="L5" s="21">
        <v>2</v>
      </c>
      <c r="M5" s="21">
        <v>3</v>
      </c>
      <c r="N5" s="21">
        <v>4</v>
      </c>
      <c r="O5" s="22" t="s">
        <v>3</v>
      </c>
      <c r="P5" s="20"/>
      <c r="Q5" s="20"/>
      <c r="R5" s="6"/>
      <c r="S5" s="6"/>
      <c r="T5" s="6"/>
      <c r="U5" s="6"/>
      <c r="V5" s="7"/>
      <c r="W5" s="6"/>
      <c r="X5" s="7"/>
      <c r="Y5" s="6"/>
      <c r="Z5" s="7"/>
      <c r="AA5" s="6"/>
      <c r="AB5" s="6"/>
      <c r="AC5" s="6"/>
      <c r="AD5" s="6"/>
      <c r="AE5" s="6"/>
      <c r="AF5" s="6"/>
      <c r="AG5" s="6"/>
    </row>
    <row r="6" spans="1:72" ht="12.75" customHeight="1" x14ac:dyDescent="0.2">
      <c r="A6" s="94"/>
      <c r="B6" s="94"/>
      <c r="C6" s="94"/>
      <c r="D6" s="94"/>
      <c r="E6" s="94"/>
      <c r="F6" s="94"/>
      <c r="G6" s="23"/>
      <c r="H6" s="12"/>
      <c r="I6" s="12"/>
      <c r="J6" s="2"/>
      <c r="K6" s="14"/>
      <c r="L6" s="14"/>
      <c r="M6" s="14"/>
      <c r="N6" s="14"/>
      <c r="O6" s="14"/>
      <c r="P6" s="20"/>
      <c r="Q6" s="20"/>
      <c r="R6" s="6"/>
      <c r="S6" s="6"/>
      <c r="T6" s="6"/>
      <c r="U6" s="6"/>
      <c r="V6" s="7"/>
      <c r="W6" s="6"/>
      <c r="X6" s="7"/>
      <c r="Y6" s="6"/>
      <c r="Z6" s="7"/>
      <c r="AA6" s="6"/>
      <c r="AB6" s="6"/>
      <c r="AC6" s="6"/>
      <c r="AD6" s="6"/>
      <c r="AE6" s="6"/>
      <c r="AF6" s="6"/>
      <c r="AG6" s="6"/>
    </row>
    <row r="7" spans="1:72" ht="12.75" customHeight="1" x14ac:dyDescent="0.2">
      <c r="A7" s="6"/>
      <c r="B7" s="24"/>
      <c r="C7" s="25"/>
      <c r="D7" s="12"/>
      <c r="E7" s="12"/>
      <c r="F7" s="12"/>
      <c r="G7" s="25"/>
      <c r="H7" s="12"/>
      <c r="I7" s="12"/>
      <c r="J7" s="2"/>
      <c r="K7" s="13"/>
      <c r="L7" s="14"/>
      <c r="M7" s="14"/>
      <c r="N7" s="14"/>
      <c r="O7" s="14"/>
      <c r="P7" s="20"/>
      <c r="Q7" s="102" t="s">
        <v>4</v>
      </c>
      <c r="R7" s="102"/>
      <c r="S7" s="102"/>
      <c r="T7" s="102"/>
      <c r="U7" s="6"/>
      <c r="V7" s="7"/>
      <c r="W7" s="6"/>
      <c r="X7" s="7"/>
      <c r="Y7" s="6"/>
      <c r="Z7" s="7"/>
      <c r="AA7" s="6"/>
      <c r="AB7" s="6"/>
      <c r="AC7" s="6"/>
      <c r="AD7" s="6"/>
      <c r="AE7" s="6"/>
      <c r="AF7" s="6"/>
      <c r="AG7" s="6"/>
    </row>
    <row r="8" spans="1:72" s="29" customFormat="1" ht="30.75" customHeight="1" x14ac:dyDescent="0.2">
      <c r="A8" s="103" t="s">
        <v>5</v>
      </c>
      <c r="B8" s="105" t="s">
        <v>5</v>
      </c>
      <c r="C8" s="106" t="s">
        <v>6</v>
      </c>
      <c r="D8" s="26" t="s">
        <v>7</v>
      </c>
      <c r="E8" s="26" t="s">
        <v>8</v>
      </c>
      <c r="F8" s="26" t="s">
        <v>7</v>
      </c>
      <c r="G8" s="108" t="s">
        <v>9</v>
      </c>
      <c r="H8" s="109" t="str">
        <f>CONCATENATE("Ejercido a: ",[1]Parametros!$B$12)</f>
        <v>Ejercido a: Agosto</v>
      </c>
      <c r="I8" s="110" t="s">
        <v>10</v>
      </c>
      <c r="J8" s="6"/>
      <c r="K8" s="112" t="str">
        <f>CONCATENATE("DETALLE DE OBJETO DE GASTOS POR AREAS EN INVERSIÓN ",Q9)</f>
        <v xml:space="preserve">DETALLE DE OBJETO DE GASTOS POR AREAS EN INVERSIÓN </v>
      </c>
      <c r="L8" s="112"/>
      <c r="M8" s="112"/>
      <c r="N8" s="112"/>
      <c r="O8" s="27"/>
      <c r="P8" s="113"/>
      <c r="Q8" s="113" t="s">
        <v>11</v>
      </c>
      <c r="R8" s="116" t="s">
        <v>12</v>
      </c>
      <c r="S8" s="116" t="s">
        <v>13</v>
      </c>
      <c r="T8" s="116" t="s">
        <v>14</v>
      </c>
      <c r="U8" s="6"/>
      <c r="V8" s="100" t="str">
        <f>CONCATENATE("Presupuesto ",TEXT($D$9,"0000")," &amp; Ejercido ",TEXT($D$9,"0000"))</f>
        <v>Presupuesto 2022 &amp; Ejercido 2022</v>
      </c>
      <c r="W8" s="101"/>
      <c r="X8" s="100" t="str">
        <f>CONCATENATE("Presupuesto ",TEXT($F$9,"0000")," &amp; Presupuesto ",TEXT($D$9,"0000"))</f>
        <v>Presupuesto 2023 &amp; Presupuesto 2022</v>
      </c>
      <c r="Y8" s="101"/>
      <c r="Z8" s="100" t="str">
        <f>CONCATENATE("Presupuesto ",TEXT($F$9,"0000")," &amp; Ejercido ",TEXT($D$9,"0000"))</f>
        <v>Presupuesto 2023 &amp; Ejercido 2022</v>
      </c>
      <c r="AA8" s="101"/>
      <c r="AB8" s="6"/>
      <c r="AC8" s="6"/>
      <c r="AD8" s="6"/>
      <c r="AE8" s="6"/>
      <c r="AF8" s="6"/>
      <c r="AG8" s="6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</row>
    <row r="9" spans="1:72" s="29" customFormat="1" ht="15.75" x14ac:dyDescent="0.2">
      <c r="A9" s="104"/>
      <c r="B9" s="105"/>
      <c r="C9" s="107"/>
      <c r="D9" s="30">
        <f>+F9-1</f>
        <v>2022</v>
      </c>
      <c r="E9" s="30">
        <f>+F9-1</f>
        <v>2022</v>
      </c>
      <c r="F9" s="30">
        <f>+[1]Parametros!$B$10</f>
        <v>2023</v>
      </c>
      <c r="G9" s="108"/>
      <c r="H9" s="109"/>
      <c r="I9" s="111"/>
      <c r="J9" s="6"/>
      <c r="K9" s="31" t="s">
        <v>15</v>
      </c>
      <c r="L9" s="32" t="s">
        <v>16</v>
      </c>
      <c r="M9" s="32" t="s">
        <v>17</v>
      </c>
      <c r="N9" s="32" t="s">
        <v>18</v>
      </c>
      <c r="O9" s="32" t="s">
        <v>19</v>
      </c>
      <c r="P9" s="114"/>
      <c r="Q9" s="114"/>
      <c r="R9" s="117"/>
      <c r="S9" s="117"/>
      <c r="T9" s="117"/>
      <c r="U9" s="6"/>
      <c r="V9" s="33" t="s">
        <v>20</v>
      </c>
      <c r="W9" s="34" t="s">
        <v>21</v>
      </c>
      <c r="X9" s="33" t="s">
        <v>20</v>
      </c>
      <c r="Y9" s="34" t="s">
        <v>21</v>
      </c>
      <c r="Z9" s="33" t="s">
        <v>20</v>
      </c>
      <c r="AA9" s="34" t="s">
        <v>21</v>
      </c>
      <c r="AB9" s="6"/>
      <c r="AC9" s="6"/>
      <c r="AD9" s="6"/>
      <c r="AE9" s="6"/>
      <c r="AF9" s="6"/>
      <c r="AG9" s="6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</row>
    <row r="10" spans="1:72" s="50" customFormat="1" ht="15" x14ac:dyDescent="0.2">
      <c r="A10" s="35" t="s">
        <v>22</v>
      </c>
      <c r="B10" s="35"/>
      <c r="C10" s="36" t="str">
        <f>IFERROR(INDEX('[1]Balanza Egresos'!A$1:C$65536,MATCH(A10,'[1]Balanza Egresos'!A$1:A$65536,0),2),"SIN CUENTA")</f>
        <v>BIENES MUEBLES, INMUEBLES E INTANGIBLES</v>
      </c>
      <c r="D10" s="37" t="e">
        <f>IF($P10="A",SUMIFS(D11:D$181,$A11:$A$181,LEFT($A10,$Q10)&amp;"*",$P11:$P$181,"R"),SUMIFS('[1]Balanza Egresos'!$F$1:$F$65536,'[1]Balanza Egresos'!$A$1:$A$65536,$A10))</f>
        <v>#VALUE!</v>
      </c>
      <c r="E10" s="37" t="e">
        <f>IF($P10="A",SUMIFS(E11:E$181,$A11:$A$181,LEFT($A10,$Q10)&amp;"*",$P11:$P$181,"R"),((H10/[1]Parametros!$E$12)*12)+$I10)</f>
        <v>#VALUE!</v>
      </c>
      <c r="F10" s="37">
        <f>IF($P10="A",SUMIFS(F11:F$181,$A11:$A$181,LEFT($A10,$Q10)&amp;"*",$P11:$P$181,"R"),K10+L10+M10+N10)</f>
        <v>6285000</v>
      </c>
      <c r="G10" s="38"/>
      <c r="H10" s="37" t="e">
        <f>IF($P10="A",SUMIFS(H11:H$181,$A11:$A$181,LEFT($A10,$Q10)&amp;"*",$P11:$P$181,"R"),SUMIFS('[1]Balanza Egresos'!$V$1:$V$65536,'[1]Balanza Egresos'!$A$1:$A$65536,$A10))</f>
        <v>#VALUE!</v>
      </c>
      <c r="I10" s="37">
        <f>I17+I11+I18+I27+I51+I62+I71</f>
        <v>41657.270000000019</v>
      </c>
      <c r="J10" s="39"/>
      <c r="K10" s="40">
        <f>IF($P10="A",SUMIFS(K11:K$181,$A11:$A$181,LEFT($A10,$Q10)&amp;"*",$P11:$P$181,"R"),0)</f>
        <v>515000</v>
      </c>
      <c r="L10" s="40">
        <f>IF($P10="A",SUMIFS(L11:L$181,$A11:$A$181,LEFT($A10,$Q10)&amp;"*",$P11:$P$181,"R"),0)</f>
        <v>30000</v>
      </c>
      <c r="M10" s="40">
        <f>IF($P10="A",SUMIFS(M11:M$181,$A11:$A$181,LEFT($A10,$Q10)&amp;"*",$P11:$P$181,"R"),0)</f>
        <v>2500000</v>
      </c>
      <c r="N10" s="40">
        <f>IF($P10="A",SUMIFS(N11:N$181,$A11:$A$181,LEFT($A10,$Q10)&amp;"*",$P11:$P$181,"R"),0)</f>
        <v>3170000</v>
      </c>
      <c r="O10" s="40">
        <f>IF($P10="A",SUMIFS(O11:O$181,$A11:$A$181,LEFT($A10,$Q10)&amp;"*",$P11:$P$181,"R"),0)</f>
        <v>70000</v>
      </c>
      <c r="P10" s="41" t="str">
        <f>IF(RIGHT(A10,2)="00","A","R")</f>
        <v>A</v>
      </c>
      <c r="Q10" s="41">
        <f t="shared" ref="Q10:Q19" si="0">IF(RIGHT(A10,4)="0000",1,IF(RIGHT(A10,3)="000",2,IF(RIGHT(A10,2)="00",3,4)))</f>
        <v>1</v>
      </c>
      <c r="R10" s="42" t="e">
        <f t="shared" ref="R10:R72" si="1">IF(ABS(D10+E10+F10+H10)&gt;0,"SI","NO")</f>
        <v>#VALUE!</v>
      </c>
      <c r="S10" s="43">
        <v>1</v>
      </c>
      <c r="T10" s="44" t="s">
        <v>23</v>
      </c>
      <c r="U10" s="6"/>
      <c r="V10" s="45" t="e">
        <f t="shared" ref="V10:V72" si="2">D10-E10</f>
        <v>#VALUE!</v>
      </c>
      <c r="W10" s="46" t="e">
        <f t="shared" ref="W10:W72" si="3">IF(D10=0,0,V10/D10)</f>
        <v>#VALUE!</v>
      </c>
      <c r="X10" s="47" t="e">
        <f t="shared" ref="X10:X72" si="4">F10-D10</f>
        <v>#VALUE!</v>
      </c>
      <c r="Y10" s="46" t="e">
        <f t="shared" ref="Y10:Y72" si="5">IF(D10=0,0,X10/D10)</f>
        <v>#VALUE!</v>
      </c>
      <c r="Z10" s="48" t="e">
        <f t="shared" ref="Z10:Z72" si="6">+F10-E10</f>
        <v>#VALUE!</v>
      </c>
      <c r="AA10" s="49" t="e">
        <f t="shared" ref="AA10:AA72" si="7">IF(E10=0,0,Z10/E10)</f>
        <v>#VALUE!</v>
      </c>
      <c r="AB10" s="39"/>
      <c r="AC10" s="39"/>
      <c r="AD10" s="39"/>
      <c r="AE10" s="39"/>
      <c r="AF10" s="39"/>
      <c r="AG10" s="39"/>
    </row>
    <row r="11" spans="1:72" s="50" customFormat="1" ht="15.75" customHeight="1" x14ac:dyDescent="0.2">
      <c r="A11" s="51" t="s">
        <v>24</v>
      </c>
      <c r="B11" s="51"/>
      <c r="C11" s="52" t="str">
        <f>IFERROR(INDEX('[1]Balanza Egresos'!A$1:C$65536,MATCH(A11,'[1]Balanza Egresos'!A$1:A$65536,0),2),"SIN CUENTA")</f>
        <v>MOBILIARIO Y EQUIPO DE ADMINISTRACIÓN</v>
      </c>
      <c r="D11" s="53" t="e">
        <f>IF($P11="A",SUMIFS(D12:D$181,$A12:$A$181,LEFT($A11,$Q11)&amp;"*",$P12:$P$181,"R"),SUMIFS('[1]Balanza Egresos'!$F$1:$F$65536,'[1]Balanza Egresos'!$A$1:$A$65536,$A11))</f>
        <v>#VALUE!</v>
      </c>
      <c r="E11" s="53" t="e">
        <f>IF($P11="A",SUMIFS(E12:E$181,$A12:$A$181,LEFT($A11,$Q11)&amp;"*",$P12:$P$181,"R"),((H11/[1]Parametros!$E$12)*12)+$I11)</f>
        <v>#VALUE!</v>
      </c>
      <c r="F11" s="37">
        <f>IF($P11="A",SUMIFS(F12:F$181,$A12:$A$181,LEFT($A11,$Q11)&amp;"*",$P12:$P$181,"R"),K11+L11+M11+N11)</f>
        <v>441500</v>
      </c>
      <c r="G11" s="54"/>
      <c r="H11" s="53" t="e">
        <f>IF($P11="A",SUMIFS(H12:H$181,$A12:$A$181,LEFT($A11,$Q11)&amp;"*",$P12:$P$181,"R"),SUMIFS('[1]Balanza Egresos'!$V$1:$V$65536,'[1]Balanza Egresos'!$A$1:$A$65536,$A11))</f>
        <v>#VALUE!</v>
      </c>
      <c r="I11" s="53">
        <f>SUM(I12:I17)</f>
        <v>3261.8699999999953</v>
      </c>
      <c r="J11" s="39"/>
      <c r="K11" s="40">
        <f>IF($P11="A",SUMIFS(K12:K$181,$A12:$A$181,LEFT($A11,$Q11)&amp;"*",$P12:$P$181,"R"),0)</f>
        <v>391500</v>
      </c>
      <c r="L11" s="40">
        <f>IF($P11="A",SUMIFS(L12:L$181,$A12:$A$181,LEFT($A11,$Q11)&amp;"*",$P12:$P$181,"R"),0)</f>
        <v>30000</v>
      </c>
      <c r="M11" s="40">
        <f>IF($P11="A",SUMIFS(M12:M$181,$A12:$A$181,LEFT($A11,$Q11)&amp;"*",$P12:$P$181,"R"),0)</f>
        <v>0</v>
      </c>
      <c r="N11" s="40">
        <f>IF($P11="A",SUMIFS(N12:N$181,$A12:$A$181,LEFT($A11,$Q11)&amp;"*",$P12:$P$181,"R"),0)</f>
        <v>0</v>
      </c>
      <c r="O11" s="40">
        <f>IF($P11="A",SUMIFS(O12:O$181,$A12:$A$181,LEFT($A11,$Q11)&amp;"*",$P12:$P$181,"R"),0)</f>
        <v>20000</v>
      </c>
      <c r="P11" s="41" t="str">
        <f t="shared" ref="P11:P77" si="8">IF(RIGHT(A11,2)="00","A","R")</f>
        <v>A</v>
      </c>
      <c r="Q11" s="41">
        <f t="shared" si="0"/>
        <v>2</v>
      </c>
      <c r="R11" s="55" t="e">
        <f t="shared" si="1"/>
        <v>#VALUE!</v>
      </c>
      <c r="S11" s="56">
        <v>1</v>
      </c>
      <c r="T11" s="57" t="s">
        <v>23</v>
      </c>
      <c r="U11" s="6"/>
      <c r="V11" s="45" t="e">
        <f t="shared" si="2"/>
        <v>#VALUE!</v>
      </c>
      <c r="W11" s="46" t="e">
        <f t="shared" si="3"/>
        <v>#VALUE!</v>
      </c>
      <c r="X11" s="47" t="e">
        <f t="shared" si="4"/>
        <v>#VALUE!</v>
      </c>
      <c r="Y11" s="46" t="e">
        <f t="shared" si="5"/>
        <v>#VALUE!</v>
      </c>
      <c r="Z11" s="48" t="e">
        <f t="shared" si="6"/>
        <v>#VALUE!</v>
      </c>
      <c r="AA11" s="49" t="e">
        <f t="shared" si="7"/>
        <v>#VALUE!</v>
      </c>
      <c r="AB11" s="39"/>
      <c r="AC11" s="39"/>
      <c r="AD11" s="39"/>
      <c r="AE11" s="39"/>
      <c r="AF11" s="39"/>
      <c r="AG11" s="39"/>
    </row>
    <row r="12" spans="1:72" s="50" customFormat="1" ht="15.75" customHeight="1" x14ac:dyDescent="0.2">
      <c r="A12" s="51" t="s">
        <v>25</v>
      </c>
      <c r="B12" s="51"/>
      <c r="C12" s="52" t="str">
        <f>IFERROR(INDEX('[1]Balanza Egresos'!A$1:C$65536,MATCH(A12,'[1]Balanza Egresos'!A$1:A$65536,0),2),"SIN CUENTA")</f>
        <v xml:space="preserve">  Muebles de oficina y estantería</v>
      </c>
      <c r="D12" s="53" t="e">
        <f>IF($P12="A",SUMIFS(D13:D$181,$A13:$A$181,LEFT($A12,$Q12)&amp;"*",$P13:$P$181,"R"),SUMIFS('[1]Balanza Egresos'!$F$1:$F$65536,'[1]Balanza Egresos'!$A$1:$A$65536,$A12))</f>
        <v>#VALUE!</v>
      </c>
      <c r="E12" s="53" t="e">
        <f>IF($P12="A",SUMIFS(E13:E$181,$A13:$A$181,LEFT($A12,$Q12)&amp;"*",$P13:$P$181,"R"),((H12/[1]Parametros!$E$12)*12)+$I12)</f>
        <v>#VALUE!</v>
      </c>
      <c r="F12" s="37">
        <f>IF($P12="A",SUMIFS(F13:F$181,$A13:$A$181,LEFT($A12,$Q12)&amp;"*",$P13:$P$181,"R"),K12+L12+M12+N12)</f>
        <v>235000</v>
      </c>
      <c r="G12" s="58"/>
      <c r="H12" s="59" t="e">
        <f>IF($P12="A",SUMIFS(H13:H$181,$A13:$A$181,LEFT($A12,$Q12)&amp;"*",$P13:$P$181,"R"),SUMIFS('[1]Balanza Egresos'!$V$1:$V$65536,'[1]Balanza Egresos'!$A$1:$A$65536,$A12))</f>
        <v>#VALUE!</v>
      </c>
      <c r="I12" s="59"/>
      <c r="J12" s="39"/>
      <c r="K12" s="40">
        <f>IF($P12="A",SUMIFS(K13:K$181,$A13:$A$181,LEFT($A12,$Q12)&amp;"*",$P13:$P$181,"R"),0)</f>
        <v>215000</v>
      </c>
      <c r="L12" s="40">
        <f>IF($P12="A",SUMIFS(L13:L$181,$A13:$A$181,LEFT($A12,$Q12)&amp;"*",$P13:$P$181,"R"),0)</f>
        <v>0</v>
      </c>
      <c r="M12" s="40">
        <f>IF($P12="A",SUMIFS(M13:M$181,$A13:$A$181,LEFT($A12,$Q12)&amp;"*",$P13:$P$181,"R"),0)</f>
        <v>0</v>
      </c>
      <c r="N12" s="40">
        <f>IF($P12="A",SUMIFS(N13:N$181,$A13:$A$181,LEFT($A12,$Q12)&amp;"*",$P13:$P$181,"R"),0)</f>
        <v>0</v>
      </c>
      <c r="O12" s="40">
        <f>IF($P12="A",SUMIFS(O13:O$181,$A13:$A$181,LEFT($A12,$Q12)&amp;"*",$P13:$P$181,"R"),0)</f>
        <v>20000</v>
      </c>
      <c r="P12" s="41" t="str">
        <f t="shared" si="8"/>
        <v>A</v>
      </c>
      <c r="Q12" s="41">
        <f t="shared" si="0"/>
        <v>3</v>
      </c>
      <c r="R12" s="55" t="e">
        <f t="shared" si="1"/>
        <v>#VALUE!</v>
      </c>
      <c r="S12" s="56">
        <v>1</v>
      </c>
      <c r="T12" s="57">
        <v>1</v>
      </c>
      <c r="U12" s="6"/>
      <c r="V12" s="45" t="e">
        <f t="shared" si="2"/>
        <v>#VALUE!</v>
      </c>
      <c r="W12" s="46" t="e">
        <f t="shared" si="3"/>
        <v>#VALUE!</v>
      </c>
      <c r="X12" s="47" t="e">
        <f t="shared" si="4"/>
        <v>#VALUE!</v>
      </c>
      <c r="Y12" s="46" t="e">
        <f t="shared" si="5"/>
        <v>#VALUE!</v>
      </c>
      <c r="Z12" s="48" t="e">
        <f t="shared" si="6"/>
        <v>#VALUE!</v>
      </c>
      <c r="AA12" s="49" t="e">
        <f t="shared" si="7"/>
        <v>#VALUE!</v>
      </c>
      <c r="AB12" s="39"/>
      <c r="AC12" s="39"/>
      <c r="AD12" s="39"/>
      <c r="AE12" s="39"/>
      <c r="AF12" s="39"/>
      <c r="AG12" s="39"/>
    </row>
    <row r="13" spans="1:72" s="50" customFormat="1" ht="23.25" customHeight="1" x14ac:dyDescent="0.2">
      <c r="A13" s="51" t="s">
        <v>26</v>
      </c>
      <c r="B13" s="51"/>
      <c r="C13" s="52" t="str">
        <f>IFERROR(INDEX('[1]Balanza Egresos'!A$1:C$65536,MATCH(A13,'[1]Balanza Egresos'!A$1:A$65536,0),2),"SIN CUENTA")</f>
        <v xml:space="preserve">  Muebles de oficina y estantería</v>
      </c>
      <c r="D13" s="53" t="e">
        <f>IF($P13="A",SUMIFS(D14:D$181,$A14:$A$181,LEFT($A13,$Q13)&amp;"*",$P14:$P$181,"R"),SUMIFS('[1]Balanza Egresos'!$F$1:$F$65536,'[1]Balanza Egresos'!$A$1:$A$65536,$A13))</f>
        <v>#VALUE!</v>
      </c>
      <c r="E13" s="53" t="e">
        <f>IF($P13="A",SUMIFS(E14:E$181,$A14:$A$181,LEFT($A13,$Q13)&amp;"*",$P14:$P$181,"R"),((H13/[1]Parametros!$E$12)*8)+$I13)</f>
        <v>#VALUE!</v>
      </c>
      <c r="F13" s="37">
        <f>IF($P13="A",SUMIFS(F14:F$181,$A14:$A$181,LEFT($A13,$Q13)&amp;"*",$P14:$P$181,"R"),K13+L13+M13+N13+O13)</f>
        <v>235000</v>
      </c>
      <c r="G13" s="60" t="s">
        <v>27</v>
      </c>
      <c r="H13" s="59" t="e">
        <f>IF($P13="A",SUMIFS(H14:H$181,$A14:$A$181,LEFT($A13,$Q13)&amp;"*",$P14:$P$181,"R"),SUMIFS('[1]Balanza Egresos'!$V$1:$V$65536,'[1]Balanza Egresos'!$A$1:$A$65536,$A13))</f>
        <v>#VALUE!</v>
      </c>
      <c r="I13" s="59">
        <f>180000-176738.13</f>
        <v>3261.8699999999953</v>
      </c>
      <c r="J13" s="39"/>
      <c r="K13" s="61">
        <f>IF($P13="A",SUMIFS(K14:K$181,$A14:$A$181,LEFT($A13,$Q13)&amp;"*",$P14:$P$181,"R"),0)+215000</f>
        <v>215000</v>
      </c>
      <c r="L13" s="40">
        <f>IF($P13="A",SUMIFS(L14:L$181,$A14:$A$181,LEFT($A13,$Q13)&amp;"*",$P14:$P$181,"R"),0)</f>
        <v>0</v>
      </c>
      <c r="M13" s="40">
        <f>IF($P13="A",SUMIFS(M14:M$181,$A14:$A$181,LEFT($A13,$Q13)&amp;"*",$P14:$P$181,"R"),0)</f>
        <v>0</v>
      </c>
      <c r="N13" s="40">
        <f>IF($P13="A",SUMIFS(N14:N$181,$A14:$A$181,LEFT($A13,$Q13)&amp;"*",$P14:$P$181,"R"),0)</f>
        <v>0</v>
      </c>
      <c r="O13" s="40">
        <f>IF($P13="A",SUMIFS(O14:O$181,$A14:$A$181,LEFT($A13,$Q13)&amp;"*",$P14:$P$181,"R"),0)+20000</f>
        <v>20000</v>
      </c>
      <c r="P13" s="41" t="str">
        <f t="shared" si="8"/>
        <v>R</v>
      </c>
      <c r="Q13" s="41">
        <f t="shared" si="0"/>
        <v>4</v>
      </c>
      <c r="R13" s="55" t="e">
        <f t="shared" si="1"/>
        <v>#VALUE!</v>
      </c>
      <c r="S13" s="56">
        <v>1</v>
      </c>
      <c r="T13" s="57">
        <v>1</v>
      </c>
      <c r="U13" s="6"/>
      <c r="V13" s="45" t="e">
        <f t="shared" si="2"/>
        <v>#VALUE!</v>
      </c>
      <c r="W13" s="46" t="e">
        <f t="shared" si="3"/>
        <v>#VALUE!</v>
      </c>
      <c r="X13" s="47" t="e">
        <f t="shared" si="4"/>
        <v>#VALUE!</v>
      </c>
      <c r="Y13" s="46" t="e">
        <f t="shared" si="5"/>
        <v>#VALUE!</v>
      </c>
      <c r="Z13" s="48" t="e">
        <f t="shared" si="6"/>
        <v>#VALUE!</v>
      </c>
      <c r="AA13" s="49" t="e">
        <f t="shared" si="7"/>
        <v>#VALUE!</v>
      </c>
      <c r="AB13" s="39"/>
      <c r="AC13" s="39"/>
      <c r="AD13" s="39"/>
      <c r="AE13" s="39"/>
      <c r="AF13" s="39"/>
      <c r="AG13" s="39"/>
    </row>
    <row r="14" spans="1:72" s="50" customFormat="1" ht="15.75" customHeight="1" x14ac:dyDescent="0.2">
      <c r="A14" s="51" t="s">
        <v>28</v>
      </c>
      <c r="B14" s="51"/>
      <c r="C14" s="52" t="s">
        <v>29</v>
      </c>
      <c r="D14" s="53" t="e">
        <f>IF($P14="A",SUMIFS(D15:D$181,$A15:$A$181,LEFT($A14,$Q14)&amp;"*",$P15:$P$181,"R"),SUMIFS('[1]Balanza Egresos'!$F$1:$F$65536,'[1]Balanza Egresos'!$A$1:$A$65536,$A14))</f>
        <v>#VALUE!</v>
      </c>
      <c r="E14" s="53" t="e">
        <f>IF($P14="A",SUMIFS(E15:E$181,$A15:$A$181,LEFT($A14,$Q14)&amp;"*",$P15:$P$181,"R"),((H14/[1]Parametros!$E$12)*12)+$I14)</f>
        <v>#VALUE!</v>
      </c>
      <c r="F14" s="37">
        <f>IF($P14="A",SUMIFS(F15:F$181,$A15:$A$181,LEFT($A14,$Q14)&amp;"*",$P15:$P$181,"R"),K14+L14+M14+N14)</f>
        <v>44500</v>
      </c>
      <c r="G14" s="62"/>
      <c r="H14" s="59" t="e">
        <f>IF($P14="A",SUMIFS(H15:H$181,$A15:$A$181,LEFT($A14,$Q14)&amp;"*",$P15:$P$181,"R"),SUMIFS('[1]Balanza Egresos'!$V$1:$V$65536,'[1]Balanza Egresos'!$A$1:$A$65536,$A14))</f>
        <v>#VALUE!</v>
      </c>
      <c r="I14" s="59"/>
      <c r="J14" s="39"/>
      <c r="K14" s="61">
        <f>IF($P14="A",SUMIFS(K15:K$181,$A15:$A$181,LEFT($A14,$Q14)&amp;"*",$P15:$P$181,"R"),0)</f>
        <v>14500</v>
      </c>
      <c r="L14" s="61">
        <f>IF($P14="A",SUMIFS(L15:L$181,$A15:$A$181,LEFT($A14,$Q14)&amp;"*",$P15:$P$181,"R"),0)</f>
        <v>30000</v>
      </c>
      <c r="M14" s="61">
        <f>IF($P14="A",SUMIFS(M15:M$181,$A15:$A$181,LEFT($A14,$Q14)&amp;"*",$P15:$P$181,"R"),0)</f>
        <v>0</v>
      </c>
      <c r="N14" s="61">
        <f>IF($P14="A",SUMIFS(N15:N$181,$A15:$A$181,LEFT($A14,$Q14)&amp;"*",$P15:$P$181,"R"),0)</f>
        <v>0</v>
      </c>
      <c r="O14" s="61">
        <f>IF($P14="A",SUMIFS(O15:O$181,$A15:$A$181,LEFT($A14,$Q14)&amp;"*",$P15:$P$181,"R"),0)</f>
        <v>0</v>
      </c>
      <c r="P14" s="41" t="str">
        <f t="shared" si="8"/>
        <v>A</v>
      </c>
      <c r="Q14" s="41">
        <f t="shared" si="0"/>
        <v>3</v>
      </c>
      <c r="R14" s="55" t="e">
        <f t="shared" si="1"/>
        <v>#VALUE!</v>
      </c>
      <c r="S14" s="56">
        <v>1</v>
      </c>
      <c r="T14" s="57">
        <v>1</v>
      </c>
      <c r="U14" s="6"/>
      <c r="V14" s="45" t="e">
        <f t="shared" si="2"/>
        <v>#VALUE!</v>
      </c>
      <c r="W14" s="46" t="e">
        <f t="shared" si="3"/>
        <v>#VALUE!</v>
      </c>
      <c r="X14" s="47" t="e">
        <f t="shared" si="4"/>
        <v>#VALUE!</v>
      </c>
      <c r="Y14" s="46" t="e">
        <f t="shared" si="5"/>
        <v>#VALUE!</v>
      </c>
      <c r="Z14" s="48" t="e">
        <f t="shared" si="6"/>
        <v>#VALUE!</v>
      </c>
      <c r="AA14" s="49" t="e">
        <f t="shared" si="7"/>
        <v>#VALUE!</v>
      </c>
      <c r="AB14" s="39"/>
      <c r="AC14" s="39"/>
      <c r="AD14" s="39"/>
      <c r="AE14" s="39"/>
      <c r="AF14" s="39"/>
      <c r="AG14" s="39"/>
    </row>
    <row r="15" spans="1:72" s="50" customFormat="1" ht="15.75" customHeight="1" x14ac:dyDescent="0.2">
      <c r="A15" s="51" t="s">
        <v>30</v>
      </c>
      <c r="B15" s="51"/>
      <c r="C15" s="52" t="s">
        <v>29</v>
      </c>
      <c r="D15" s="53" t="e">
        <f>IF($P15="A",SUMIFS(D16:D$181,$A16:$A$181,LEFT($A15,$Q15)&amp;"*",$P16:$P$181,"R"),SUMIFS('[1]Balanza Egresos'!$F$1:$F$65536,'[1]Balanza Egresos'!$A$1:$A$65536,$A15))</f>
        <v>#VALUE!</v>
      </c>
      <c r="E15" s="53" t="e">
        <f>IF($P15="A",SUMIFS(E16:E$181,$A16:$A$181,LEFT($A15,$Q15)&amp;"*",$P16:$P$181,"R"),((H15/[1]Parametros!$E$12)*12)+$I15)</f>
        <v>#VALUE!</v>
      </c>
      <c r="F15" s="37">
        <f>IF($P15="A",SUMIFS(F16:F$181,$A16:$A$181,LEFT($A15,$Q15)&amp;"*",$P16:$P$181,"R"),K15+L15+M15+N15+O15)</f>
        <v>44500</v>
      </c>
      <c r="G15" s="62" t="s">
        <v>31</v>
      </c>
      <c r="H15" s="59" t="e">
        <f>IF($P15="A",SUMIFS(H16:H$181,$A16:$A$181,LEFT($A15,$Q15)&amp;"*",$P16:$P$181,"R"),SUMIFS('[1]Balanza Egresos'!$V$1:$V$65536,'[1]Balanza Egresos'!$A$1:$A$65536,$A15))</f>
        <v>#VALUE!</v>
      </c>
      <c r="I15" s="59"/>
      <c r="J15" s="39"/>
      <c r="K15" s="61">
        <f>IF($P15="A",SUMIFS(K16:K$181,$A16:$A$181,LEFT($A15,$Q15)&amp;"*",$P16:$P$181,"R"),0)+14500</f>
        <v>14500</v>
      </c>
      <c r="L15" s="61">
        <f>IF($P15="A",SUMIFS(L16:L$181,$A16:$A$181,LEFT($A15,$Q15)&amp;"*",$P16:$P$181,"R"),0)+30000</f>
        <v>30000</v>
      </c>
      <c r="M15" s="61">
        <f>IF($P15="A",SUMIFS(M16:M$181,$A16:$A$181,LEFT($A15,$Q15)&amp;"*",$P16:$P$181,"R"),0)</f>
        <v>0</v>
      </c>
      <c r="N15" s="61">
        <f>IF($P15="A",SUMIFS(N16:N$181,$A16:$A$181,LEFT($A15,$Q15)&amp;"*",$P16:$P$181,"R"),0)</f>
        <v>0</v>
      </c>
      <c r="O15" s="61">
        <f>IF($P15="A",SUMIFS(O16:O$181,$A16:$A$181,LEFT($A15,$Q15)&amp;"*",$P16:$P$181,"R"),0)</f>
        <v>0</v>
      </c>
      <c r="P15" s="41" t="str">
        <f t="shared" si="8"/>
        <v>R</v>
      </c>
      <c r="Q15" s="41">
        <f t="shared" si="0"/>
        <v>4</v>
      </c>
      <c r="R15" s="55" t="e">
        <f t="shared" si="1"/>
        <v>#VALUE!</v>
      </c>
      <c r="S15" s="56">
        <v>1</v>
      </c>
      <c r="T15" s="57">
        <v>1</v>
      </c>
      <c r="U15" s="6"/>
      <c r="V15" s="45" t="e">
        <f t="shared" si="2"/>
        <v>#VALUE!</v>
      </c>
      <c r="W15" s="46" t="e">
        <f t="shared" si="3"/>
        <v>#VALUE!</v>
      </c>
      <c r="X15" s="47" t="e">
        <f t="shared" si="4"/>
        <v>#VALUE!</v>
      </c>
      <c r="Y15" s="46" t="e">
        <f t="shared" si="5"/>
        <v>#VALUE!</v>
      </c>
      <c r="Z15" s="48" t="e">
        <f t="shared" si="6"/>
        <v>#VALUE!</v>
      </c>
      <c r="AA15" s="49" t="e">
        <f t="shared" si="7"/>
        <v>#VALUE!</v>
      </c>
      <c r="AB15" s="39"/>
      <c r="AC15" s="39"/>
      <c r="AD15" s="39"/>
      <c r="AE15" s="39"/>
      <c r="AF15" s="39"/>
      <c r="AG15" s="39"/>
    </row>
    <row r="16" spans="1:72" s="50" customFormat="1" ht="15.75" hidden="1" customHeight="1" x14ac:dyDescent="0.2">
      <c r="A16" s="51" t="s">
        <v>32</v>
      </c>
      <c r="B16" s="51"/>
      <c r="C16" s="52" t="str">
        <f>IFERROR(INDEX('[1]Balanza Egresos'!A$1:C$65536,MATCH(A16,'[1]Balanza Egresos'!A$1:A$65536,0),2),"SIN CUENTA")</f>
        <v>SIN CUENTA</v>
      </c>
      <c r="D16" s="53" t="e">
        <f>IF($P16="A",SUMIFS(D17:D$181,$A17:$A$181,LEFT($A16,$Q16)&amp;"*",$P17:$P$181,"R"),SUMIFS('[1]Balanza Egresos'!$F$1:$F$65536,'[1]Balanza Egresos'!$A$1:$A$65536,$A16))</f>
        <v>#VALUE!</v>
      </c>
      <c r="E16" s="53" t="e">
        <f>IF($P16="A",SUMIFS(E17:E$181,$A17:$A$181,LEFT($A16,$Q16)&amp;"*",$P17:$P$181,"R"),((H16/[1]Parametros!$E$12)*12)+$I16)</f>
        <v>#VALUE!</v>
      </c>
      <c r="F16" s="37">
        <f>IF($P16="A",SUMIFS(F17:F$181,$A17:$A$181,LEFT($A16,$Q16)&amp;"*",$P17:$P$181,"R"),K16+L16+M16+N16)</f>
        <v>0</v>
      </c>
      <c r="G16" s="63"/>
      <c r="H16" s="59" t="e">
        <f>IF($P16="A",SUMIFS(H17:H$181,$A17:$A$181,LEFT($A16,$Q16)&amp;"*",$P17:$P$181,"R"),SUMIFS('[1]Balanza Egresos'!$V$1:$V$65536,'[1]Balanza Egresos'!$A$1:$A$65536,$A16))</f>
        <v>#VALUE!</v>
      </c>
      <c r="I16" s="59"/>
      <c r="J16" s="39"/>
      <c r="K16" s="61">
        <f>IF($P16="A",SUMIFS(K17:K$181,$A17:$A$181,LEFT($A16,$Q16)&amp;"*",$P17:$P$181,"R"),0)</f>
        <v>0</v>
      </c>
      <c r="L16" s="61">
        <f>IF($P16="A",SUMIFS(L17:L$181,$A17:$A$181,LEFT($A16,$Q16)&amp;"*",$P17:$P$181,"R"),0)</f>
        <v>0</v>
      </c>
      <c r="M16" s="61">
        <f>IF($P16="A",SUMIFS(M17:M$181,$A17:$A$181,LEFT($A16,$Q16)&amp;"*",$P17:$P$181,"R"),0)</f>
        <v>0</v>
      </c>
      <c r="N16" s="61">
        <f>IF($P16="A",SUMIFS(N17:N$181,$A17:$A$181,LEFT($A16,$Q16)&amp;"*",$P17:$P$181,"R"),0)</f>
        <v>0</v>
      </c>
      <c r="O16" s="61">
        <f>IF($P16="A",SUMIFS(O17:O$181,$A17:$A$181,LEFT($A16,$Q16)&amp;"*",$P17:$P$181,"R"),0)</f>
        <v>0</v>
      </c>
      <c r="P16" s="41" t="str">
        <f t="shared" si="8"/>
        <v>A</v>
      </c>
      <c r="Q16" s="41">
        <f t="shared" si="0"/>
        <v>3</v>
      </c>
      <c r="R16" s="55" t="e">
        <f t="shared" si="1"/>
        <v>#VALUE!</v>
      </c>
      <c r="S16" s="56">
        <v>1</v>
      </c>
      <c r="T16" s="57">
        <v>1</v>
      </c>
      <c r="U16" s="6"/>
      <c r="V16" s="45" t="e">
        <f t="shared" si="2"/>
        <v>#VALUE!</v>
      </c>
      <c r="W16" s="46" t="e">
        <f t="shared" si="3"/>
        <v>#VALUE!</v>
      </c>
      <c r="X16" s="47" t="e">
        <f t="shared" si="4"/>
        <v>#VALUE!</v>
      </c>
      <c r="Y16" s="46" t="e">
        <f t="shared" si="5"/>
        <v>#VALUE!</v>
      </c>
      <c r="Z16" s="48" t="e">
        <f t="shared" si="6"/>
        <v>#VALUE!</v>
      </c>
      <c r="AA16" s="49" t="e">
        <f t="shared" si="7"/>
        <v>#VALUE!</v>
      </c>
      <c r="AB16" s="39"/>
      <c r="AC16" s="39"/>
      <c r="AD16" s="39"/>
      <c r="AE16" s="39"/>
      <c r="AF16" s="39"/>
      <c r="AG16" s="39"/>
    </row>
    <row r="17" spans="1:33" s="50" customFormat="1" ht="15.75" hidden="1" customHeight="1" x14ac:dyDescent="0.2">
      <c r="A17" s="51" t="s">
        <v>33</v>
      </c>
      <c r="B17" s="51"/>
      <c r="C17" s="52" t="str">
        <f>IFERROR(INDEX('[1]Balanza Egresos'!A$1:C$65536,MATCH(A17,'[1]Balanza Egresos'!A$1:A$65536,0),2),"SIN CUENTA")</f>
        <v>SIN CUENTA</v>
      </c>
      <c r="D17" s="53" t="e">
        <f>IF($P17="A",SUMIFS(D18:D$181,$A18:$A$181,LEFT($A17,$Q17)&amp;"*",$P18:$P$181,"R"),SUMIFS('[1]Balanza Egresos'!$F$1:$F$65536,'[1]Balanza Egresos'!$A$1:$A$65536,$A17))</f>
        <v>#VALUE!</v>
      </c>
      <c r="E17" s="53" t="e">
        <f>IF($P17="A",SUMIFS(E18:E$181,$A18:$A$181,LEFT($A17,$Q17)&amp;"*",$P18:$P$181,"R"),((H17/[1]Parametros!$E$12)*12)+$I17)</f>
        <v>#VALUE!</v>
      </c>
      <c r="F17" s="37">
        <f>IF($P17="A",SUMIFS(F18:F$181,$A18:$A$181,LEFT($A17,$Q17)&amp;"*",$P18:$P$181,"R"),K17+L17+M17+N17+O17)</f>
        <v>0</v>
      </c>
      <c r="G17" s="58"/>
      <c r="H17" s="59" t="e">
        <f>IF($P17="A",SUMIFS(H18:H$181,$A18:$A$181,LEFT($A17,$Q17)&amp;"*",$P18:$P$181,"R"),SUMIFS('[1]Balanza Egresos'!$V$1:$V$65536,'[1]Balanza Egresos'!$A$1:$A$65536,$A17))</f>
        <v>#VALUE!</v>
      </c>
      <c r="I17" s="59"/>
      <c r="J17" s="39"/>
      <c r="K17" s="61">
        <f>IF($P17="A",SUMIFS(K18:K$181,$A18:$A$181,LEFT($A17,$Q17)&amp;"*",$P18:$P$181,"R"),0)</f>
        <v>0</v>
      </c>
      <c r="L17" s="61">
        <f>IF($P17="A",SUMIFS(L18:L$181,$A18:$A$181,LEFT($A17,$Q17)&amp;"*",$P18:$P$181,"R"),0)</f>
        <v>0</v>
      </c>
      <c r="M17" s="61">
        <f>IF($P17="A",SUMIFS(M18:M$181,$A18:$A$181,LEFT($A17,$Q17)&amp;"*",$P18:$P$181,"R"),0)</f>
        <v>0</v>
      </c>
      <c r="N17" s="61">
        <f>IF($P17="A",SUMIFS(N18:N$181,$A18:$A$181,LEFT($A17,$Q17)&amp;"*",$P18:$P$181,"R"),0)</f>
        <v>0</v>
      </c>
      <c r="O17" s="61">
        <f>IF($P17="A",SUMIFS(O18:O$181,$A18:$A$181,LEFT($A17,$Q17)&amp;"*",$P18:$P$181,"R"),0)</f>
        <v>0</v>
      </c>
      <c r="P17" s="41" t="str">
        <f t="shared" si="8"/>
        <v>R</v>
      </c>
      <c r="Q17" s="41">
        <f t="shared" si="0"/>
        <v>4</v>
      </c>
      <c r="R17" s="55" t="e">
        <f t="shared" si="1"/>
        <v>#VALUE!</v>
      </c>
      <c r="S17" s="56">
        <v>1</v>
      </c>
      <c r="T17" s="57">
        <v>1</v>
      </c>
      <c r="U17" s="6"/>
      <c r="V17" s="45" t="e">
        <f t="shared" si="2"/>
        <v>#VALUE!</v>
      </c>
      <c r="W17" s="46" t="e">
        <f t="shared" si="3"/>
        <v>#VALUE!</v>
      </c>
      <c r="X17" s="47" t="e">
        <f t="shared" si="4"/>
        <v>#VALUE!</v>
      </c>
      <c r="Y17" s="46" t="e">
        <f t="shared" si="5"/>
        <v>#VALUE!</v>
      </c>
      <c r="Z17" s="48" t="e">
        <f t="shared" si="6"/>
        <v>#VALUE!</v>
      </c>
      <c r="AA17" s="49" t="e">
        <f t="shared" si="7"/>
        <v>#VALUE!</v>
      </c>
      <c r="AB17" s="39"/>
      <c r="AC17" s="39"/>
      <c r="AD17" s="39"/>
      <c r="AE17" s="39"/>
      <c r="AF17" s="39"/>
      <c r="AG17" s="39"/>
    </row>
    <row r="18" spans="1:33" s="50" customFormat="1" ht="15.75" hidden="1" customHeight="1" x14ac:dyDescent="0.2">
      <c r="A18" s="51" t="s">
        <v>34</v>
      </c>
      <c r="B18" s="51"/>
      <c r="C18" s="52" t="str">
        <f>IFERROR(INDEX('[1]Balanza Egresos'!A$1:C$65536,MATCH(A18,'[1]Balanza Egresos'!A$1:A$65536,0),2),"SIN CUENTA")</f>
        <v>SIN CUENTA</v>
      </c>
      <c r="D18" s="53" t="e">
        <f>IF($P18="A",SUMIFS(D19:D$181,$A19:$A$181,LEFT($A18,$Q18)&amp;"*",$P19:$P$181,"R"),SUMIFS('[1]Balanza Egresos'!$F$1:$F$65536,'[1]Balanza Egresos'!$A$1:$A$65536,$A18))</f>
        <v>#VALUE!</v>
      </c>
      <c r="E18" s="53" t="e">
        <f>IF($P18="A",SUMIFS(E19:E$181,$A19:$A$181,LEFT($A18,$Q18)&amp;"*",$P19:$P$181,"R"),((H18/[1]Parametros!$E$12)*12)+$I18)</f>
        <v>#VALUE!</v>
      </c>
      <c r="F18" s="37">
        <f>IF($P18="A",SUMIFS(F19:F$181,$A19:$A$181,LEFT($A18,$Q18)&amp;"*",$P19:$P$181,"R"),K18+L18+M18+N18)</f>
        <v>0</v>
      </c>
      <c r="G18" s="58"/>
      <c r="H18" s="53" t="e">
        <f>IF($P18="A",SUMIFS(H19:H$181,$A19:$A$181,LEFT($A18,$Q18)&amp;"*",$P19:$P$181,"R"),SUMIFS('[1]Balanza Egresos'!$V$1:$V$65536,'[1]Balanza Egresos'!$A$1:$A$65536,$A18))</f>
        <v>#VALUE!</v>
      </c>
      <c r="I18" s="53">
        <f>SUM(I19:I26)</f>
        <v>-30106.099999999977</v>
      </c>
      <c r="J18" s="39"/>
      <c r="K18" s="40">
        <f>IF($P18="A",SUMIFS(K19:K$181,$A19:$A$181,LEFT($A18,$Q18)&amp;"*",$P19:$P$181,"R"),0)</f>
        <v>0</v>
      </c>
      <c r="L18" s="40">
        <f>IF($P18="A",SUMIFS(L19:L$181,$A19:$A$181,LEFT($A18,$Q18)&amp;"*",$P19:$P$181,"R"),0)</f>
        <v>0</v>
      </c>
      <c r="M18" s="40">
        <f>IF($P18="A",SUMIFS(M19:M$181,$A19:$A$181,LEFT($A18,$Q18)&amp;"*",$P19:$P$181,"R"),0)</f>
        <v>0</v>
      </c>
      <c r="N18" s="40">
        <f>IF($P18="A",SUMIFS(N19:N$181,$A19:$A$181,LEFT($A18,$Q18)&amp;"*",$P19:$P$181,"R"),0)</f>
        <v>0</v>
      </c>
      <c r="O18" s="40">
        <f>IF($P18="A",SUMIFS(O19:O$181,$A19:$A$181,LEFT($A18,$Q18)&amp;"*",$P19:$P$181,"R"),0)</f>
        <v>0</v>
      </c>
      <c r="P18" s="41" t="str">
        <f t="shared" si="8"/>
        <v>A</v>
      </c>
      <c r="Q18" s="41">
        <f t="shared" si="0"/>
        <v>3</v>
      </c>
      <c r="R18" s="55" t="e">
        <f t="shared" si="1"/>
        <v>#VALUE!</v>
      </c>
      <c r="S18" s="56">
        <v>1</v>
      </c>
      <c r="T18" s="57" t="s">
        <v>23</v>
      </c>
      <c r="U18" s="6"/>
      <c r="V18" s="45" t="e">
        <f t="shared" si="2"/>
        <v>#VALUE!</v>
      </c>
      <c r="W18" s="46" t="e">
        <f t="shared" si="3"/>
        <v>#VALUE!</v>
      </c>
      <c r="X18" s="47" t="e">
        <f t="shared" si="4"/>
        <v>#VALUE!</v>
      </c>
      <c r="Y18" s="46" t="e">
        <f t="shared" si="5"/>
        <v>#VALUE!</v>
      </c>
      <c r="Z18" s="48" t="e">
        <f t="shared" si="6"/>
        <v>#VALUE!</v>
      </c>
      <c r="AA18" s="49" t="e">
        <f t="shared" si="7"/>
        <v>#VALUE!</v>
      </c>
      <c r="AB18" s="39"/>
      <c r="AC18" s="39"/>
      <c r="AD18" s="39"/>
      <c r="AE18" s="39"/>
      <c r="AF18" s="39"/>
      <c r="AG18" s="39"/>
    </row>
    <row r="19" spans="1:33" s="50" customFormat="1" ht="15.75" hidden="1" customHeight="1" x14ac:dyDescent="0.2">
      <c r="A19" s="51" t="s">
        <v>35</v>
      </c>
      <c r="B19" s="51"/>
      <c r="C19" s="52" t="str">
        <f>IFERROR(INDEX('[1]Balanza Egresos'!A$1:C$65536,MATCH(A19,'[1]Balanza Egresos'!A$1:A$65536,0),2),"SIN CUENTA")</f>
        <v>SIN CUENTA</v>
      </c>
      <c r="D19" s="53" t="e">
        <f>IF($P19="A",SUMIFS(D20:D$181,$A20:$A$181,LEFT($A19,$Q19)&amp;"*",$P20:$P$181,"R"),SUMIFS('[1]Balanza Egresos'!$F$1:$F$65536,'[1]Balanza Egresos'!$A$1:$A$65536,$A19))</f>
        <v>#VALUE!</v>
      </c>
      <c r="E19" s="53" t="e">
        <f>IF($P19="A",SUMIFS(E20:E$181,$A20:$A$181,LEFT($A19,$Q19)&amp;"*",$P20:$P$181,"R"),((H19/[1]Parametros!$E$12)*12)+$I19)</f>
        <v>#VALUE!</v>
      </c>
      <c r="F19" s="37">
        <f>IF($P19="A",SUMIFS(F20:F$181,$A20:$A$181,LEFT($A19,$Q19)&amp;"*",$P20:$P$181,"R"),K19+L19+M19+N19+O19)</f>
        <v>0</v>
      </c>
      <c r="G19" s="58"/>
      <c r="H19" s="59" t="e">
        <f>IF($P19="A",SUMIFS(H20:H$181,$A20:$A$181,LEFT($A19,$Q19)&amp;"*",$P20:$P$181,"R"),SUMIFS('[1]Balanza Egresos'!$V$1:$V$65536,'[1]Balanza Egresos'!$A$1:$A$65536,$A19))</f>
        <v>#VALUE!</v>
      </c>
      <c r="I19" s="59"/>
      <c r="J19" s="39"/>
      <c r="K19" s="61">
        <f>IF($P19="A",SUMIFS(K20:K$181,$A20:$A$181,LEFT($A19,$Q19)&amp;"*",$P20:$P$181,"R"),0)</f>
        <v>0</v>
      </c>
      <c r="L19" s="61">
        <f>IF($P19="A",SUMIFS(L20:L$181,$A20:$A$181,LEFT($A19,$Q19)&amp;"*",$P20:$P$181,"R"),0)</f>
        <v>0</v>
      </c>
      <c r="M19" s="61">
        <f>IF($P19="A",SUMIFS(M20:M$181,$A20:$A$181,LEFT($A19,$Q19)&amp;"*",$P20:$P$181,"R"),0)</f>
        <v>0</v>
      </c>
      <c r="N19" s="61">
        <f>IF($P19="A",SUMIFS(N20:N$181,$A20:$A$181,LEFT($A19,$Q19)&amp;"*",$P20:$P$181,"R"),0)</f>
        <v>0</v>
      </c>
      <c r="O19" s="61">
        <f>IF($P19="A",SUMIFS(O20:O$181,$A20:$A$181,LEFT($A19,$Q19)&amp;"*",$P20:$P$181,"R"),0)</f>
        <v>0</v>
      </c>
      <c r="P19" s="41" t="str">
        <f t="shared" si="8"/>
        <v>R</v>
      </c>
      <c r="Q19" s="41">
        <f t="shared" si="0"/>
        <v>4</v>
      </c>
      <c r="R19" s="55" t="e">
        <f t="shared" si="1"/>
        <v>#VALUE!</v>
      </c>
      <c r="S19" s="56">
        <v>1</v>
      </c>
      <c r="T19" s="57">
        <v>1</v>
      </c>
      <c r="U19" s="6"/>
      <c r="V19" s="45" t="e">
        <f t="shared" si="2"/>
        <v>#VALUE!</v>
      </c>
      <c r="W19" s="46" t="e">
        <f t="shared" si="3"/>
        <v>#VALUE!</v>
      </c>
      <c r="X19" s="47" t="e">
        <f t="shared" si="4"/>
        <v>#VALUE!</v>
      </c>
      <c r="Y19" s="46" t="e">
        <f t="shared" si="5"/>
        <v>#VALUE!</v>
      </c>
      <c r="Z19" s="48" t="e">
        <f t="shared" si="6"/>
        <v>#VALUE!</v>
      </c>
      <c r="AA19" s="49" t="e">
        <f t="shared" si="7"/>
        <v>#VALUE!</v>
      </c>
      <c r="AB19" s="39"/>
      <c r="AC19" s="39"/>
      <c r="AD19" s="39"/>
      <c r="AE19" s="39"/>
      <c r="AF19" s="39"/>
      <c r="AG19" s="39"/>
    </row>
    <row r="20" spans="1:33" s="50" customFormat="1" ht="15.75" customHeight="1" x14ac:dyDescent="0.2">
      <c r="A20" s="51" t="s">
        <v>36</v>
      </c>
      <c r="B20" s="51"/>
      <c r="C20" s="52" t="str">
        <f>IFERROR(INDEX('[1]Balanza Egresos'!A$1:C$65536,MATCH(A20,'[1]Balanza Egresos'!A$1:A$65536,0),2),"SIN CUENTA")</f>
        <v xml:space="preserve">  Equipo de cómputo y de tecnologías de la información</v>
      </c>
      <c r="D20" s="53" t="e">
        <f>IF($P20="A",SUMIFS(D21:D$181,$A21:$A$181,LEFT($A20,$Q20)&amp;"*",$P21:$P$181,"R"),SUMIFS('[1]Balanza Egresos'!$F$1:$F$65536,'[1]Balanza Egresos'!$A$1:$A$65536,$A20))</f>
        <v>#VALUE!</v>
      </c>
      <c r="E20" s="53" t="e">
        <f>IF($P20="A",SUMIFS(E21:E$181,$A21:$A$181,LEFT($A20,$Q20)&amp;"*",$P21:$P$181,"R"),((H20/[1]Parametros!$E$12)*12)+$I20)</f>
        <v>#VALUE!</v>
      </c>
      <c r="F20" s="37">
        <f>IF($P20="A",SUMIFS(F21:F$181,$A21:$A$181,LEFT($A20,$Q20)&amp;"*",$P21:$P$181,"R"),K20+L20+M20+N20)</f>
        <v>110000</v>
      </c>
      <c r="G20" s="62"/>
      <c r="H20" s="59" t="e">
        <f>IF($P20="A",SUMIFS(H21:H$181,$A21:$A$181,LEFT($A20,$Q20)&amp;"*",$P21:$P$181,"R"),SUMIFS('[1]Balanza Egresos'!$V$1:$V$65536,'[1]Balanza Egresos'!$A$1:$A$65536,$A20))</f>
        <v>#VALUE!</v>
      </c>
      <c r="I20" s="59"/>
      <c r="J20" s="39"/>
      <c r="K20" s="61">
        <f>IF($P20="A",SUMIFS(K21:K$181,$A21:$A$181,LEFT($A20,$Q20)&amp;"*",$P21:$P$181,"R"),0)</f>
        <v>110000</v>
      </c>
      <c r="L20" s="61">
        <f>IF($P20="A",SUMIFS(L21:L$181,$A21:$A$181,LEFT($A20,$Q20)&amp;"*",$P21:$P$181,"R"),0)</f>
        <v>0</v>
      </c>
      <c r="M20" s="61">
        <f>IF($P20="A",SUMIFS(M21:M$181,$A21:$A$181,LEFT($A20,$Q20)&amp;"*",$P21:$P$181,"R"),0)</f>
        <v>0</v>
      </c>
      <c r="N20" s="61">
        <f>IF($P20="A",SUMIFS(N21:N$181,$A21:$A$181,LEFT($A20,$Q20)&amp;"*",$P21:$P$181,"R"),0)</f>
        <v>0</v>
      </c>
      <c r="O20" s="61">
        <f>IF($P20="A",SUMIFS(O21:O$181,$A21:$A$181,LEFT($A20,$Q20)&amp;"*",$P21:$P$181,"R"),0)</f>
        <v>0</v>
      </c>
      <c r="P20" s="41" t="str">
        <f t="shared" si="8"/>
        <v>A</v>
      </c>
      <c r="Q20" s="41">
        <f>IF(RIGHT(A20,4)="0000",1,IF(RIGHT(A20,3)="000",2,IF(RIGHT(A20,2)="00",3,4)))</f>
        <v>3</v>
      </c>
      <c r="R20" s="55" t="e">
        <f t="shared" si="1"/>
        <v>#VALUE!</v>
      </c>
      <c r="S20" s="56">
        <v>1</v>
      </c>
      <c r="T20" s="57">
        <v>1</v>
      </c>
      <c r="U20" s="6"/>
      <c r="V20" s="45" t="e">
        <f t="shared" si="2"/>
        <v>#VALUE!</v>
      </c>
      <c r="W20" s="46" t="e">
        <f t="shared" si="3"/>
        <v>#VALUE!</v>
      </c>
      <c r="X20" s="47" t="e">
        <f t="shared" si="4"/>
        <v>#VALUE!</v>
      </c>
      <c r="Y20" s="46" t="e">
        <f t="shared" si="5"/>
        <v>#VALUE!</v>
      </c>
      <c r="Z20" s="48" t="e">
        <f t="shared" si="6"/>
        <v>#VALUE!</v>
      </c>
      <c r="AA20" s="49" t="e">
        <f t="shared" si="7"/>
        <v>#VALUE!</v>
      </c>
      <c r="AB20" s="39"/>
      <c r="AC20" s="39"/>
      <c r="AD20" s="39"/>
      <c r="AE20" s="39"/>
      <c r="AF20" s="39"/>
      <c r="AG20" s="39"/>
    </row>
    <row r="21" spans="1:33" s="50" customFormat="1" ht="15.75" customHeight="1" x14ac:dyDescent="0.2">
      <c r="A21" s="51" t="s">
        <v>37</v>
      </c>
      <c r="B21" s="51"/>
      <c r="C21" s="52" t="str">
        <f>IFERROR(INDEX('[1]Balanza Egresos'!A$1:C$65536,MATCH(A21,'[1]Balanza Egresos'!A$1:A$65536,0),2),"SIN CUENTA")</f>
        <v xml:space="preserve">  Equipo de cómputo y de tecnología de la información</v>
      </c>
      <c r="D21" s="53" t="e">
        <f>IF($P21="A",SUMIFS(D22:D$181,$A22:$A$181,LEFT($A21,$Q21)&amp;"*",$P22:$P$181,"R"),SUMIFS('[1]Balanza Egresos'!$F$1:$F$65536,'[1]Balanza Egresos'!$A$1:$A$65536,$A21))</f>
        <v>#VALUE!</v>
      </c>
      <c r="E21" s="53" t="e">
        <f>IF($P21="A",SUMIFS(E22:E$181,$A22:$A$181,LEFT($A21,$Q21)&amp;"*",$P22:$P$181,"R"),((H21/[1]Parametros!$E$12)*12)+$I21)</f>
        <v>#VALUE!</v>
      </c>
      <c r="F21" s="37">
        <f>IF($P21="A",SUMIFS(F22:F$181,$A22:$A$181,LEFT($A21,$Q21)&amp;"*",$P22:$P$181,"R"),K21+L21+M21+N21+O21)</f>
        <v>110000</v>
      </c>
      <c r="G21" s="62" t="s">
        <v>38</v>
      </c>
      <c r="H21" s="59" t="e">
        <f>IF($P21="A",SUMIFS(H22:H$181,$A22:$A$181,LEFT($A21,$Q21)&amp;"*",$P22:$P$181,"R"),SUMIFS('[1]Balanza Egresos'!$V$1:$V$65536,'[1]Balanza Egresos'!$A$1:$A$65536,$A21))</f>
        <v>#VALUE!</v>
      </c>
      <c r="I21" s="59">
        <f>435000-465106.1</f>
        <v>-30106.099999999977</v>
      </c>
      <c r="J21" s="39"/>
      <c r="K21" s="61">
        <f>IF($P21="A",SUMIFS(K22:K$181,$A22:$A$181,LEFT($A21,$Q21)&amp;"*",$P22:$P$181,"R"),0)+110000</f>
        <v>110000</v>
      </c>
      <c r="L21" s="61">
        <f>IF($P21="A",SUMIFS(L22:L$181,$A22:$A$181,LEFT($A21,$Q21)&amp;"*",$P22:$P$181,"R"),0)</f>
        <v>0</v>
      </c>
      <c r="M21" s="61">
        <f>IF($P21="A",SUMIFS(M22:M$181,$A22:$A$181,LEFT($A21,$Q21)&amp;"*",$P22:$P$181,"R"),0)</f>
        <v>0</v>
      </c>
      <c r="N21" s="61">
        <f>IF($P21="A",SUMIFS(N22:N$181,$A22:$A$181,LEFT($A21,$Q21)&amp;"*",$P22:$P$181,"R"),0)</f>
        <v>0</v>
      </c>
      <c r="O21" s="61">
        <f>IF($P21="A",SUMIFS(O22:O$181,$A22:$A$181,LEFT($A21,$Q21)&amp;"*",$P22:$P$181,"R"),0)</f>
        <v>0</v>
      </c>
      <c r="P21" s="41" t="str">
        <f t="shared" si="8"/>
        <v>R</v>
      </c>
      <c r="Q21" s="41">
        <f t="shared" ref="Q21:Q87" si="9">IF(RIGHT(A21,4)="0000",1,IF(RIGHT(A21,3)="000",2,IF(RIGHT(A21,2)="00",3,4)))</f>
        <v>4</v>
      </c>
      <c r="R21" s="55" t="e">
        <f t="shared" si="1"/>
        <v>#VALUE!</v>
      </c>
      <c r="S21" s="56">
        <v>1</v>
      </c>
      <c r="T21" s="57">
        <v>1</v>
      </c>
      <c r="U21" s="6"/>
      <c r="V21" s="45" t="e">
        <f t="shared" si="2"/>
        <v>#VALUE!</v>
      </c>
      <c r="W21" s="46" t="e">
        <f t="shared" si="3"/>
        <v>#VALUE!</v>
      </c>
      <c r="X21" s="47" t="e">
        <f t="shared" si="4"/>
        <v>#VALUE!</v>
      </c>
      <c r="Y21" s="46" t="e">
        <f t="shared" si="5"/>
        <v>#VALUE!</v>
      </c>
      <c r="Z21" s="48" t="e">
        <f t="shared" si="6"/>
        <v>#VALUE!</v>
      </c>
      <c r="AA21" s="49" t="e">
        <f t="shared" si="7"/>
        <v>#VALUE!</v>
      </c>
      <c r="AB21" s="39"/>
      <c r="AC21" s="39"/>
      <c r="AD21" s="39"/>
      <c r="AE21" s="39"/>
      <c r="AF21" s="39"/>
      <c r="AG21" s="39"/>
    </row>
    <row r="22" spans="1:33" s="50" customFormat="1" ht="15.75" customHeight="1" x14ac:dyDescent="0.2">
      <c r="A22" s="51" t="s">
        <v>39</v>
      </c>
      <c r="B22" s="51"/>
      <c r="C22" s="52" t="s">
        <v>40</v>
      </c>
      <c r="D22" s="53" t="e">
        <f>IF($P22="A",SUMIFS(D23:D$181,$A23:$A$181,LEFT($A22,$Q22)&amp;"*",$P23:$P$181,"R"),SUMIFS('[1]Balanza Egresos'!$F$1:$F$65536,'[1]Balanza Egresos'!$A$1:$A$65536,$A22))</f>
        <v>#VALUE!</v>
      </c>
      <c r="E22" s="53" t="e">
        <f>IF($P22="A",SUMIFS(E23:E$181,$A23:$A$181,LEFT($A22,$Q22)&amp;"*",$P23:$P$181,"R"),((H22/[1]Parametros!$E$12)*12)+$I22)</f>
        <v>#VALUE!</v>
      </c>
      <c r="F22" s="37">
        <f>IF($P22="A",SUMIFS(F23:F$181,$A23:$A$181,LEFT($A22,$Q22)&amp;"*",$P23:$P$181,"R"),K22+L22+M22+N22)</f>
        <v>52000</v>
      </c>
      <c r="G22" s="62"/>
      <c r="H22" s="59" t="e">
        <f>IF($P22="A",SUMIFS(H23:H$181,$A23:$A$181,LEFT($A22,$Q22)&amp;"*",$P23:$P$181,"R"),SUMIFS('[1]Balanza Egresos'!$V$1:$V$65536,'[1]Balanza Egresos'!$A$1:$A$65536,$A22))</f>
        <v>#VALUE!</v>
      </c>
      <c r="I22" s="59"/>
      <c r="J22" s="39"/>
      <c r="K22" s="61">
        <f>IF($P22="A",SUMIFS(K23:K$181,$A23:$A$181,LEFT($A22,$Q22)&amp;"*",$P23:$P$181,"R"),0)</f>
        <v>52000</v>
      </c>
      <c r="L22" s="61">
        <f>IF($P22="A",SUMIFS(L23:L$181,$A23:$A$181,LEFT($A22,$Q22)&amp;"*",$P23:$P$181,"R"),0)</f>
        <v>0</v>
      </c>
      <c r="M22" s="61">
        <f>IF($P22="A",SUMIFS(M23:M$181,$A23:$A$181,LEFT($A22,$Q22)&amp;"*",$P23:$P$181,"R"),0)</f>
        <v>0</v>
      </c>
      <c r="N22" s="61">
        <f>IF($P22="A",SUMIFS(N23:N$181,$A23:$A$181,LEFT($A22,$Q22)&amp;"*",$P23:$P$181,"R"),0)</f>
        <v>0</v>
      </c>
      <c r="O22" s="61">
        <f>IF($P22="A",SUMIFS(O23:O$181,$A23:$A$181,LEFT($A22,$Q22)&amp;"*",$P23:$P$181,"R"),0)</f>
        <v>0</v>
      </c>
      <c r="P22" s="41" t="str">
        <f t="shared" si="8"/>
        <v>A</v>
      </c>
      <c r="Q22" s="41">
        <f t="shared" si="9"/>
        <v>3</v>
      </c>
      <c r="R22" s="55" t="e">
        <f t="shared" si="1"/>
        <v>#VALUE!</v>
      </c>
      <c r="S22" s="56">
        <v>1</v>
      </c>
      <c r="T22" s="57">
        <v>1</v>
      </c>
      <c r="U22" s="6"/>
      <c r="V22" s="45" t="e">
        <f t="shared" si="2"/>
        <v>#VALUE!</v>
      </c>
      <c r="W22" s="46" t="e">
        <f t="shared" si="3"/>
        <v>#VALUE!</v>
      </c>
      <c r="X22" s="47" t="e">
        <f t="shared" si="4"/>
        <v>#VALUE!</v>
      </c>
      <c r="Y22" s="46" t="e">
        <f t="shared" si="5"/>
        <v>#VALUE!</v>
      </c>
      <c r="Z22" s="48" t="e">
        <f t="shared" si="6"/>
        <v>#VALUE!</v>
      </c>
      <c r="AA22" s="49" t="e">
        <f t="shared" si="7"/>
        <v>#VALUE!</v>
      </c>
      <c r="AB22" s="39"/>
      <c r="AC22" s="39"/>
      <c r="AD22" s="39"/>
      <c r="AE22" s="39"/>
      <c r="AF22" s="39"/>
      <c r="AG22" s="39"/>
    </row>
    <row r="23" spans="1:33" s="50" customFormat="1" ht="15.75" customHeight="1" x14ac:dyDescent="0.2">
      <c r="A23" s="51" t="s">
        <v>41</v>
      </c>
      <c r="B23" s="51"/>
      <c r="C23" s="52" t="s">
        <v>40</v>
      </c>
      <c r="D23" s="53" t="e">
        <f>IF($P23="A",SUMIFS(D24:D$181,$A24:$A$181,LEFT($A23,$Q23)&amp;"*",$P24:$P$181,"R"),SUMIFS('[1]Balanza Egresos'!$F$1:$F$65536,'[1]Balanza Egresos'!$A$1:$A$65536,$A23))</f>
        <v>#VALUE!</v>
      </c>
      <c r="E23" s="53" t="e">
        <f>IF($P23="A",SUMIFS(E24:E$181,$A24:$A$181,LEFT($A23,$Q23)&amp;"*",$P24:$P$181,"R"),((H23/[1]Parametros!$E$12)*12)+$I23)</f>
        <v>#VALUE!</v>
      </c>
      <c r="F23" s="37">
        <f>IF($P23="A",SUMIFS(F24:F$181,$A24:$A$181,LEFT($A23,$Q23)&amp;"*",$P24:$P$181,"R"),K23+L23+M23+N23+O23)</f>
        <v>52000</v>
      </c>
      <c r="G23" s="62"/>
      <c r="H23" s="59" t="e">
        <f>IF($P23="A",SUMIFS(H24:H$181,$A24:$A$181,LEFT($A23,$Q23)&amp;"*",$P24:$P$181,"R"),SUMIFS('[1]Balanza Egresos'!$V$1:$V$65536,'[1]Balanza Egresos'!$A$1:$A$65536,$A23))</f>
        <v>#VALUE!</v>
      </c>
      <c r="I23" s="59"/>
      <c r="J23" s="39"/>
      <c r="K23" s="61">
        <f>IF($P23="A",SUMIFS(K24:K$181,$A24:$A$181,LEFT($A23,$Q23)&amp;"*",$P24:$P$181,"R"),0)+52000</f>
        <v>52000</v>
      </c>
      <c r="L23" s="61">
        <f>IF($P23="A",SUMIFS(L24:L$181,$A24:$A$181,LEFT($A23,$Q23)&amp;"*",$P24:$P$181,"R"),0)</f>
        <v>0</v>
      </c>
      <c r="M23" s="61">
        <f>IF($P23="A",SUMIFS(M24:M$181,$A24:$A$181,LEFT($A23,$Q23)&amp;"*",$P24:$P$181,"R"),0)</f>
        <v>0</v>
      </c>
      <c r="N23" s="61">
        <f>IF($P23="A",SUMIFS(N24:N$181,$A24:$A$181,LEFT($A23,$Q23)&amp;"*",$P24:$P$181,"R"),0)</f>
        <v>0</v>
      </c>
      <c r="O23" s="61">
        <f>IF($P23="A",SUMIFS(O24:O$181,$A24:$A$181,LEFT($A23,$Q23)&amp;"*",$P24:$P$181,"R"),0)</f>
        <v>0</v>
      </c>
      <c r="P23" s="41" t="str">
        <f t="shared" si="8"/>
        <v>R</v>
      </c>
      <c r="Q23" s="41">
        <f t="shared" si="9"/>
        <v>4</v>
      </c>
      <c r="R23" s="55" t="e">
        <f t="shared" si="1"/>
        <v>#VALUE!</v>
      </c>
      <c r="S23" s="56">
        <v>1</v>
      </c>
      <c r="T23" s="57">
        <v>1</v>
      </c>
      <c r="U23" s="6"/>
      <c r="V23" s="45" t="e">
        <f t="shared" si="2"/>
        <v>#VALUE!</v>
      </c>
      <c r="W23" s="46" t="e">
        <f t="shared" si="3"/>
        <v>#VALUE!</v>
      </c>
      <c r="X23" s="47" t="e">
        <f t="shared" si="4"/>
        <v>#VALUE!</v>
      </c>
      <c r="Y23" s="46" t="e">
        <f t="shared" si="5"/>
        <v>#VALUE!</v>
      </c>
      <c r="Z23" s="48" t="e">
        <f t="shared" si="6"/>
        <v>#VALUE!</v>
      </c>
      <c r="AA23" s="49" t="e">
        <f t="shared" si="7"/>
        <v>#VALUE!</v>
      </c>
      <c r="AB23" s="39"/>
      <c r="AC23" s="39"/>
      <c r="AD23" s="39"/>
      <c r="AE23" s="39"/>
      <c r="AF23" s="39"/>
      <c r="AG23" s="39"/>
    </row>
    <row r="24" spans="1:33" s="50" customFormat="1" ht="15.75" customHeight="1" x14ac:dyDescent="0.2">
      <c r="A24" s="51" t="s">
        <v>42</v>
      </c>
      <c r="B24" s="51"/>
      <c r="C24" s="52" t="s">
        <v>43</v>
      </c>
      <c r="D24" s="53" t="e">
        <f>IF($P24="A",SUMIFS(D25:D$181,$A25:$A$181,LEFT($A24,$Q24)&amp;"*",$P25:$P$181,"R"),SUMIFS('[1]Balanza Egresos'!$F$1:$F$65536,'[1]Balanza Egresos'!$A$1:$A$65536,$A24))</f>
        <v>#VALUE!</v>
      </c>
      <c r="E24" s="53" t="e">
        <f>IF($P24="A",SUMIFS(E25:E$181,$A25:$A$181,LEFT($A24,$Q24)&amp;"*",$P25:$P$181,"R"),((H24/[1]Parametros!$E$12)*12)+$I24)</f>
        <v>#VALUE!</v>
      </c>
      <c r="F24" s="37">
        <f>IF($P24="A",SUMIFS(F25:F$181,$A25:$A$181,LEFT($A24,$Q24)&amp;"*",$P25:$P$181,"R"),K24+L24+M24+N24)</f>
        <v>64000</v>
      </c>
      <c r="G24" s="62"/>
      <c r="H24" s="59" t="e">
        <f>IF($P24="A",SUMIFS(H25:H$181,$A25:$A$181,LEFT($A24,$Q24)&amp;"*",$P25:$P$181,"R"),SUMIFS('[1]Balanza Egresos'!$V$1:$V$65536,'[1]Balanza Egresos'!$A$1:$A$65536,$A24))</f>
        <v>#VALUE!</v>
      </c>
      <c r="I24" s="59"/>
      <c r="J24" s="39"/>
      <c r="K24" s="61">
        <f>IF($P24="A",SUMIFS(K25:K$181,$A25:$A$181,LEFT($A24,$Q24)&amp;"*",$P25:$P$181,"R"),0)</f>
        <v>64000</v>
      </c>
      <c r="L24" s="61">
        <f>IF($P24="A",SUMIFS(L25:L$181,$A25:$A$181,LEFT($A24,$Q24)&amp;"*",$P25:$P$181,"R"),0)</f>
        <v>0</v>
      </c>
      <c r="M24" s="61">
        <f>IF($P24="A",SUMIFS(M25:M$181,$A25:$A$181,LEFT($A24,$Q24)&amp;"*",$P25:$P$181,"R"),0)</f>
        <v>0</v>
      </c>
      <c r="N24" s="61">
        <f>IF($P24="A",SUMIFS(N25:N$181,$A25:$A$181,LEFT($A24,$Q24)&amp;"*",$P25:$P$181,"R"),0)</f>
        <v>0</v>
      </c>
      <c r="O24" s="61">
        <f>IF($P24="A",SUMIFS(O25:O$181,$A25:$A$181,LEFT($A24,$Q24)&amp;"*",$P25:$P$181,"R"),0)</f>
        <v>0</v>
      </c>
      <c r="P24" s="41" t="str">
        <f t="shared" si="8"/>
        <v>A</v>
      </c>
      <c r="Q24" s="41">
        <f t="shared" si="9"/>
        <v>2</v>
      </c>
      <c r="R24" s="55" t="e">
        <f t="shared" si="1"/>
        <v>#VALUE!</v>
      </c>
      <c r="S24" s="56">
        <v>1</v>
      </c>
      <c r="T24" s="57">
        <v>1</v>
      </c>
      <c r="U24" s="6"/>
      <c r="V24" s="45" t="e">
        <f t="shared" si="2"/>
        <v>#VALUE!</v>
      </c>
      <c r="W24" s="46" t="e">
        <f t="shared" si="3"/>
        <v>#VALUE!</v>
      </c>
      <c r="X24" s="47" t="e">
        <f t="shared" si="4"/>
        <v>#VALUE!</v>
      </c>
      <c r="Y24" s="46" t="e">
        <f t="shared" si="5"/>
        <v>#VALUE!</v>
      </c>
      <c r="Z24" s="48" t="e">
        <f t="shared" si="6"/>
        <v>#VALUE!</v>
      </c>
      <c r="AA24" s="49" t="e">
        <f t="shared" si="7"/>
        <v>#VALUE!</v>
      </c>
      <c r="AB24" s="39"/>
      <c r="AC24" s="39"/>
      <c r="AD24" s="39"/>
      <c r="AE24" s="39"/>
      <c r="AF24" s="39"/>
      <c r="AG24" s="39"/>
    </row>
    <row r="25" spans="1:33" s="50" customFormat="1" ht="15.75" customHeight="1" x14ac:dyDescent="0.2">
      <c r="A25" s="51" t="s">
        <v>44</v>
      </c>
      <c r="B25" s="51"/>
      <c r="C25" s="52" t="s">
        <v>43</v>
      </c>
      <c r="D25" s="53" t="e">
        <f>IF($P25="A",SUMIFS(D26:D$181,$A26:$A$181,LEFT($A25,$Q25)&amp;"*",$P26:$P$181,"R"),SUMIFS('[1]Balanza Egresos'!$F$1:$F$65536,'[1]Balanza Egresos'!$A$1:$A$65536,$A25))</f>
        <v>#VALUE!</v>
      </c>
      <c r="E25" s="53" t="e">
        <f>IF($P25="A",SUMIFS(E26:E$181,$A26:$A$181,LEFT($A25,$Q25)&amp;"*",$P26:$P$181,"R"),((H25/[1]Parametros!$E$12)*12)+$I25)</f>
        <v>#VALUE!</v>
      </c>
      <c r="F25" s="37">
        <f>IF($P25="A",SUMIFS(F26:F$181,$A26:$A$181,LEFT($A25,$Q25)&amp;"*",$P26:$P$181,"R"),K25+L25+M25+N25)</f>
        <v>48000</v>
      </c>
      <c r="G25" s="62"/>
      <c r="H25" s="59" t="e">
        <f>IF($P25="A",SUMIFS(H26:H$181,$A26:$A$181,LEFT($A25,$Q25)&amp;"*",$P26:$P$181,"R"),SUMIFS('[1]Balanza Egresos'!$V$1:$V$65536,'[1]Balanza Egresos'!$A$1:$A$65536,$A25))</f>
        <v>#VALUE!</v>
      </c>
      <c r="I25" s="59"/>
      <c r="J25" s="39"/>
      <c r="K25" s="61">
        <f>IF($P25="A",SUMIFS(K26:K$181,$A26:$A$181,LEFT($A25,$Q25)&amp;"*",$P26:$P$181,"R"),0)</f>
        <v>48000</v>
      </c>
      <c r="L25" s="61">
        <f>IF($P25="A",SUMIFS(L26:L$181,$A26:$A$181,LEFT($A25,$Q25)&amp;"*",$P26:$P$181,"R"),0)</f>
        <v>0</v>
      </c>
      <c r="M25" s="61">
        <f>IF($P25="A",SUMIFS(M26:M$181,$A26:$A$181,LEFT($A25,$Q25)&amp;"*",$P26:$P$181,"R"),0)</f>
        <v>0</v>
      </c>
      <c r="N25" s="61">
        <f>IF($P25="A",SUMIFS(N26:N$181,$A26:$A$181,LEFT($A25,$Q25)&amp;"*",$P26:$P$181,"R"),0)</f>
        <v>0</v>
      </c>
      <c r="O25" s="61">
        <f>IF($P25="A",SUMIFS(O26:O$181,$A26:$A$181,LEFT($A25,$Q25)&amp;"*",$P26:$P$181,"R"),0)</f>
        <v>0</v>
      </c>
      <c r="P25" s="41" t="str">
        <f t="shared" si="8"/>
        <v>A</v>
      </c>
      <c r="Q25" s="41">
        <f t="shared" si="9"/>
        <v>3</v>
      </c>
      <c r="R25" s="55" t="e">
        <f t="shared" si="1"/>
        <v>#VALUE!</v>
      </c>
      <c r="S25" s="56">
        <v>1</v>
      </c>
      <c r="T25" s="57">
        <v>1</v>
      </c>
      <c r="U25" s="6"/>
      <c r="V25" s="45" t="e">
        <f t="shared" si="2"/>
        <v>#VALUE!</v>
      </c>
      <c r="W25" s="46" t="e">
        <f t="shared" si="3"/>
        <v>#VALUE!</v>
      </c>
      <c r="X25" s="47" t="e">
        <f t="shared" si="4"/>
        <v>#VALUE!</v>
      </c>
      <c r="Y25" s="46" t="e">
        <f t="shared" si="5"/>
        <v>#VALUE!</v>
      </c>
      <c r="Z25" s="48" t="e">
        <f t="shared" si="6"/>
        <v>#VALUE!</v>
      </c>
      <c r="AA25" s="49" t="e">
        <f t="shared" si="7"/>
        <v>#VALUE!</v>
      </c>
      <c r="AB25" s="39"/>
      <c r="AC25" s="39"/>
      <c r="AD25" s="39"/>
      <c r="AE25" s="39"/>
      <c r="AF25" s="39"/>
      <c r="AG25" s="39"/>
    </row>
    <row r="26" spans="1:33" s="50" customFormat="1" ht="25.5" customHeight="1" x14ac:dyDescent="0.2">
      <c r="A26" s="51" t="s">
        <v>45</v>
      </c>
      <c r="B26" s="51"/>
      <c r="C26" s="52" t="s">
        <v>43</v>
      </c>
      <c r="D26" s="53" t="e">
        <f>IF($P26="A",SUMIFS(D27:D$181,$A27:$A$181,LEFT($A26,$Q26)&amp;"*",$P27:$P$181,"R"),SUMIFS('[1]Balanza Egresos'!$F$1:$F$65536,'[1]Balanza Egresos'!$A$1:$A$65536,$A26))</f>
        <v>#VALUE!</v>
      </c>
      <c r="E26" s="53" t="e">
        <f>IF($P26="A",SUMIFS(E27:E$181,$A27:$A$181,LEFT($A26,$Q26)&amp;"*",$P27:$P$181,"R"),((H26/[1]Parametros!$E$12)*12)+$I26)</f>
        <v>#VALUE!</v>
      </c>
      <c r="F26" s="37">
        <f>IF($P26="A",SUMIFS(F27:F$181,$A27:$A$181,LEFT($A26,$Q26)&amp;"*",$P27:$P$181,"R"),K26+L26+M26+N26+O26)</f>
        <v>48000</v>
      </c>
      <c r="G26" s="60" t="s">
        <v>46</v>
      </c>
      <c r="H26" s="59" t="e">
        <f>IF($P26="A",SUMIFS(H27:H$181,$A27:$A$181,LEFT($A26,$Q26)&amp;"*",$P27:$P$181,"R"),SUMIFS('[1]Balanza Egresos'!$V$1:$V$65536,'[1]Balanza Egresos'!$A$1:$A$65536,$A26))</f>
        <v>#VALUE!</v>
      </c>
      <c r="I26" s="59"/>
      <c r="J26" s="39"/>
      <c r="K26" s="61">
        <f>IF($P26="A",SUMIFS(K27:K$181,$A27:$A$181,LEFT($A26,$Q26)&amp;"*",$P27:$P$181,"R"),0)+48000</f>
        <v>48000</v>
      </c>
      <c r="L26" s="61">
        <f>IF($P26="A",SUMIFS(L27:L$181,$A27:$A$181,LEFT($A26,$Q26)&amp;"*",$P27:$P$181,"R"),0)</f>
        <v>0</v>
      </c>
      <c r="M26" s="61">
        <f>IF($P26="A",SUMIFS(M27:M$181,$A27:$A$181,LEFT($A26,$Q26)&amp;"*",$P27:$P$181,"R"),0)</f>
        <v>0</v>
      </c>
      <c r="N26" s="61">
        <f>IF($P26="A",SUMIFS(N27:N$181,$A27:$A$181,LEFT($A26,$Q26)&amp;"*",$P27:$P$181,"R"),0)</f>
        <v>0</v>
      </c>
      <c r="O26" s="61">
        <f>IF($P26="A",SUMIFS(O27:O$181,$A27:$A$181,LEFT($A26,$Q26)&amp;"*",$P27:$P$181,"R"),0)</f>
        <v>0</v>
      </c>
      <c r="P26" s="41" t="str">
        <f t="shared" si="8"/>
        <v>R</v>
      </c>
      <c r="Q26" s="41">
        <f t="shared" si="9"/>
        <v>4</v>
      </c>
      <c r="R26" s="55" t="e">
        <f t="shared" si="1"/>
        <v>#VALUE!</v>
      </c>
      <c r="S26" s="56">
        <v>1</v>
      </c>
      <c r="T26" s="57">
        <v>1</v>
      </c>
      <c r="U26" s="6"/>
      <c r="V26" s="45" t="e">
        <f t="shared" si="2"/>
        <v>#VALUE!</v>
      </c>
      <c r="W26" s="46" t="e">
        <f t="shared" si="3"/>
        <v>#VALUE!</v>
      </c>
      <c r="X26" s="47" t="e">
        <f t="shared" si="4"/>
        <v>#VALUE!</v>
      </c>
      <c r="Y26" s="46" t="e">
        <f t="shared" si="5"/>
        <v>#VALUE!</v>
      </c>
      <c r="Z26" s="48" t="e">
        <f t="shared" si="6"/>
        <v>#VALUE!</v>
      </c>
      <c r="AA26" s="49" t="e">
        <f t="shared" si="7"/>
        <v>#VALUE!</v>
      </c>
      <c r="AB26" s="39"/>
      <c r="AC26" s="39"/>
      <c r="AD26" s="39"/>
      <c r="AE26" s="39"/>
      <c r="AF26" s="39"/>
      <c r="AG26" s="39"/>
    </row>
    <row r="27" spans="1:33" s="50" customFormat="1" ht="15.75" hidden="1" customHeight="1" x14ac:dyDescent="0.2">
      <c r="A27" s="51" t="s">
        <v>47</v>
      </c>
      <c r="B27" s="51"/>
      <c r="C27" s="52" t="str">
        <f>IFERROR(INDEX('[1]Balanza Egresos'!A$1:C$65536,MATCH(A27,'[1]Balanza Egresos'!A$1:A$65536,0),2),"SIN CUENTA")</f>
        <v>SIN CUENTA</v>
      </c>
      <c r="D27" s="53" t="e">
        <f>IF($P27="A",SUMIFS(D28:D$181,$A28:$A$181,LEFT($A27,$Q27)&amp;"*",$P28:$P$181,"R"),SUMIFS('[1]Balanza Egresos'!$F$1:$F$65536,'[1]Balanza Egresos'!$A$1:$A$65536,$A27))</f>
        <v>#VALUE!</v>
      </c>
      <c r="E27" s="53" t="e">
        <f>IF($P27="A",SUMIFS(E28:E$181,$A28:$A$181,LEFT($A27,$Q27)&amp;"*",$P28:$P$181,"R"),((H27/[1]Parametros!$E$12)*12)+$I27)</f>
        <v>#VALUE!</v>
      </c>
      <c r="F27" s="37">
        <f>IF($P27="A",SUMIFS(F28:F$181,$A28:$A$181,LEFT($A27,$Q27)&amp;"*",$P28:$P$181,"R"),K27+L27+M27+N27)</f>
        <v>0</v>
      </c>
      <c r="G27" s="58"/>
      <c r="H27" s="53" t="e">
        <f>IF($P27="A",SUMIFS(H28:H$181,$A28:$A$181,LEFT($A27,$Q27)&amp;"*",$P28:$P$181,"R"),SUMIFS('[1]Balanza Egresos'!$V$1:$V$65536,'[1]Balanza Egresos'!$A$1:$A$65536,$A27))</f>
        <v>#VALUE!</v>
      </c>
      <c r="I27" s="53">
        <f>SUM(I28:I50)</f>
        <v>68501.5</v>
      </c>
      <c r="J27" s="39"/>
      <c r="K27" s="61">
        <f>IF($P27="A",SUMIFS(K28:K$181,$A28:$A$181,LEFT($A27,$Q27)&amp;"*",$P28:$P$181,"R"),0)</f>
        <v>0</v>
      </c>
      <c r="L27" s="61">
        <f>IF($P27="A",SUMIFS(L28:L$181,$A28:$A$181,LEFT($A27,$Q27)&amp;"*",$P28:$P$181,"R"),0)</f>
        <v>0</v>
      </c>
      <c r="M27" s="61">
        <f>IF($P27="A",SUMIFS(M28:M$181,$A28:$A$181,LEFT($A27,$Q27)&amp;"*",$P28:$P$181,"R"),0)</f>
        <v>0</v>
      </c>
      <c r="N27" s="61">
        <f>IF($P27="A",SUMIFS(N28:N$181,$A28:$A$181,LEFT($A27,$Q27)&amp;"*",$P28:$P$181,"R"),0)</f>
        <v>0</v>
      </c>
      <c r="O27" s="61">
        <f>IF($P27="A",SUMIFS(O28:O$181,$A28:$A$181,LEFT($A27,$Q27)&amp;"*",$P28:$P$181,"R"),0)</f>
        <v>0</v>
      </c>
      <c r="P27" s="41" t="str">
        <f t="shared" si="8"/>
        <v>A</v>
      </c>
      <c r="Q27" s="41">
        <f t="shared" si="9"/>
        <v>3</v>
      </c>
      <c r="R27" s="55" t="e">
        <f t="shared" si="1"/>
        <v>#VALUE!</v>
      </c>
      <c r="S27" s="56">
        <v>1</v>
      </c>
      <c r="T27" s="57" t="s">
        <v>23</v>
      </c>
      <c r="U27" s="6"/>
      <c r="V27" s="45" t="e">
        <f t="shared" si="2"/>
        <v>#VALUE!</v>
      </c>
      <c r="W27" s="46" t="e">
        <f t="shared" si="3"/>
        <v>#VALUE!</v>
      </c>
      <c r="X27" s="47" t="e">
        <f t="shared" si="4"/>
        <v>#VALUE!</v>
      </c>
      <c r="Y27" s="46" t="e">
        <f t="shared" si="5"/>
        <v>#VALUE!</v>
      </c>
      <c r="Z27" s="48" t="e">
        <f t="shared" si="6"/>
        <v>#VALUE!</v>
      </c>
      <c r="AA27" s="49" t="e">
        <f t="shared" si="7"/>
        <v>#VALUE!</v>
      </c>
      <c r="AB27" s="39"/>
      <c r="AC27" s="39"/>
      <c r="AD27" s="39"/>
      <c r="AE27" s="39"/>
      <c r="AF27" s="39"/>
      <c r="AG27" s="39"/>
    </row>
    <row r="28" spans="1:33" s="50" customFormat="1" ht="15.75" hidden="1" customHeight="1" x14ac:dyDescent="0.2">
      <c r="A28" s="51" t="s">
        <v>48</v>
      </c>
      <c r="B28" s="51"/>
      <c r="C28" s="52" t="str">
        <f>IFERROR(INDEX('[1]Balanza Egresos'!A$1:C$65536,MATCH(A28,'[1]Balanza Egresos'!A$1:A$65536,0),2),"SIN CUENTA")</f>
        <v>SIN CUENTA</v>
      </c>
      <c r="D28" s="53" t="e">
        <f>IF($P28="A",SUMIFS(D29:D$181,$A29:$A$181,LEFT($A28,$Q28)&amp;"*",$P29:$P$181,"R"),SUMIFS('[1]Balanza Egresos'!$F$1:$F$65536,'[1]Balanza Egresos'!$A$1:$A$65536,$A28))</f>
        <v>#VALUE!</v>
      </c>
      <c r="E28" s="53" t="e">
        <f>IF($P28="A",SUMIFS(E29:E$181,$A29:$A$181,LEFT($A28,$Q28)&amp;"*",$P29:$P$181,"R"),((H28/[1]Parametros!$E$12)*12)+$I28)</f>
        <v>#VALUE!</v>
      </c>
      <c r="F28" s="37">
        <f>IF($P28="A",SUMIFS(F29:F$181,$A29:$A$181,LEFT($A28,$Q28)&amp;"*",$P29:$P$181,"R"),K28+L28+M28+N28+O28)</f>
        <v>0</v>
      </c>
      <c r="G28" s="58"/>
      <c r="H28" s="59" t="e">
        <f>IF($P28="A",SUMIFS(H29:H$181,$A29:$A$181,LEFT($A28,$Q28)&amp;"*",$P29:$P$181,"R"),SUMIFS('[1]Balanza Egresos'!$V$1:$V$65536,'[1]Balanza Egresos'!$A$1:$A$65536,$A28))</f>
        <v>#VALUE!</v>
      </c>
      <c r="I28" s="59"/>
      <c r="J28" s="39"/>
      <c r="K28" s="61">
        <f>IF($P28="A",SUMIFS(K29:K$181,$A29:$A$181,LEFT($A28,$Q28)&amp;"*",$P29:$P$181,"R"),0)</f>
        <v>0</v>
      </c>
      <c r="L28" s="61">
        <f>IF($P28="A",SUMIFS(L29:L$181,$A29:$A$181,LEFT($A28,$Q28)&amp;"*",$P29:$P$181,"R"),0)</f>
        <v>0</v>
      </c>
      <c r="M28" s="61">
        <f>IF($P28="A",SUMIFS(M29:M$181,$A29:$A$181,LEFT($A28,$Q28)&amp;"*",$P29:$P$181,"R"),0)</f>
        <v>0</v>
      </c>
      <c r="N28" s="61">
        <f>IF($P28="A",SUMIFS(N29:N$181,$A29:$A$181,LEFT($A28,$Q28)&amp;"*",$P29:$P$181,"R"),0)</f>
        <v>0</v>
      </c>
      <c r="O28" s="61">
        <f>IF($P28="A",SUMIFS(O29:O$181,$A29:$A$181,LEFT($A28,$Q28)&amp;"*",$P29:$P$181,"R"),0)</f>
        <v>0</v>
      </c>
      <c r="P28" s="41" t="str">
        <f t="shared" si="8"/>
        <v>R</v>
      </c>
      <c r="Q28" s="41">
        <f t="shared" si="9"/>
        <v>4</v>
      </c>
      <c r="R28" s="55" t="e">
        <f t="shared" si="1"/>
        <v>#VALUE!</v>
      </c>
      <c r="S28" s="56">
        <v>1</v>
      </c>
      <c r="T28" s="57">
        <v>3</v>
      </c>
      <c r="U28" s="6"/>
      <c r="V28" s="45" t="e">
        <f t="shared" si="2"/>
        <v>#VALUE!</v>
      </c>
      <c r="W28" s="46" t="e">
        <f t="shared" si="3"/>
        <v>#VALUE!</v>
      </c>
      <c r="X28" s="47" t="e">
        <f t="shared" si="4"/>
        <v>#VALUE!</v>
      </c>
      <c r="Y28" s="46" t="e">
        <f t="shared" si="5"/>
        <v>#VALUE!</v>
      </c>
      <c r="Z28" s="48" t="e">
        <f t="shared" si="6"/>
        <v>#VALUE!</v>
      </c>
      <c r="AA28" s="49" t="e">
        <f t="shared" si="7"/>
        <v>#VALUE!</v>
      </c>
      <c r="AB28" s="39"/>
      <c r="AC28" s="39"/>
      <c r="AD28" s="39"/>
      <c r="AE28" s="39"/>
      <c r="AF28" s="39"/>
      <c r="AG28" s="39"/>
    </row>
    <row r="29" spans="1:33" s="50" customFormat="1" ht="15.75" customHeight="1" x14ac:dyDescent="0.2">
      <c r="A29" s="51" t="s">
        <v>49</v>
      </c>
      <c r="B29" s="51"/>
      <c r="C29" s="52" t="s">
        <v>50</v>
      </c>
      <c r="D29" s="53" t="e">
        <f>IF($P29="A",SUMIFS(D30:D$181,$A30:$A$181,LEFT($A29,$Q29)&amp;"*",$P30:$P$181,"R"),SUMIFS('[1]Balanza Egresos'!$F$1:$F$65536,'[1]Balanza Egresos'!$A$1:$A$65536,$A29))</f>
        <v>#VALUE!</v>
      </c>
      <c r="E29" s="53" t="e">
        <f>IF($P29="A",SUMIFS(E30:E$181,$A30:$A$181,LEFT($A29,$Q29)&amp;"*",$P30:$P$181,"R"),((H29/[1]Parametros!$E$12)*12)+$I29)</f>
        <v>#VALUE!</v>
      </c>
      <c r="F29" s="37">
        <f>IF($P29="A",SUMIFS(F30:F$181,$A30:$A$181,LEFT($A29,$Q29)&amp;"*",$P30:$P$181,"R"),K29+L29+M29+N29)</f>
        <v>16000</v>
      </c>
      <c r="G29" s="62"/>
      <c r="H29" s="59" t="e">
        <f>IF($P29="A",SUMIFS(H30:H$181,$A30:$A$181,LEFT($A29,$Q29)&amp;"*",$P30:$P$181,"R"),SUMIFS('[1]Balanza Egresos'!$V$1:$V$65536,'[1]Balanza Egresos'!$A$1:$A$65536,$A29))</f>
        <v>#VALUE!</v>
      </c>
      <c r="I29" s="59"/>
      <c r="J29" s="39"/>
      <c r="K29" s="61">
        <f>IF($P29="A",SUMIFS(K30:K$181,$A30:$A$181,LEFT($A29,$Q29)&amp;"*",$P30:$P$181,"R"),0)</f>
        <v>16000</v>
      </c>
      <c r="L29" s="61">
        <f>IF($P29="A",SUMIFS(L30:L$181,$A30:$A$181,LEFT($A29,$Q29)&amp;"*",$P30:$P$181,"R"),0)</f>
        <v>0</v>
      </c>
      <c r="M29" s="61">
        <f>IF($P29="A",SUMIFS(M30:M$181,$A30:$A$181,LEFT($A29,$Q29)&amp;"*",$P30:$P$181,"R"),0)</f>
        <v>0</v>
      </c>
      <c r="N29" s="61">
        <f>IF($P29="A",SUMIFS(N30:N$181,$A30:$A$181,LEFT($A29,$Q29)&amp;"*",$P30:$P$181,"R"),0)</f>
        <v>0</v>
      </c>
      <c r="O29" s="61">
        <f>IF($P29="A",SUMIFS(O30:O$181,$A30:$A$181,LEFT($A29,$Q29)&amp;"*",$P30:$P$181,"R"),0)</f>
        <v>0</v>
      </c>
      <c r="P29" s="41" t="str">
        <f t="shared" si="8"/>
        <v>A</v>
      </c>
      <c r="Q29" s="41">
        <f t="shared" si="9"/>
        <v>3</v>
      </c>
      <c r="R29" s="55" t="e">
        <f t="shared" si="1"/>
        <v>#VALUE!</v>
      </c>
      <c r="S29" s="56">
        <v>1</v>
      </c>
      <c r="T29" s="57">
        <v>3</v>
      </c>
      <c r="U29" s="6"/>
      <c r="V29" s="45" t="e">
        <f t="shared" si="2"/>
        <v>#VALUE!</v>
      </c>
      <c r="W29" s="46" t="e">
        <f t="shared" si="3"/>
        <v>#VALUE!</v>
      </c>
      <c r="X29" s="47" t="e">
        <f t="shared" si="4"/>
        <v>#VALUE!</v>
      </c>
      <c r="Y29" s="46" t="e">
        <f t="shared" si="5"/>
        <v>#VALUE!</v>
      </c>
      <c r="Z29" s="48" t="e">
        <f t="shared" si="6"/>
        <v>#VALUE!</v>
      </c>
      <c r="AA29" s="49" t="e">
        <f t="shared" si="7"/>
        <v>#VALUE!</v>
      </c>
      <c r="AB29" s="39"/>
      <c r="AC29" s="39"/>
      <c r="AD29" s="39"/>
      <c r="AE29" s="39"/>
      <c r="AF29" s="39"/>
      <c r="AG29" s="39"/>
    </row>
    <row r="30" spans="1:33" s="50" customFormat="1" ht="25.5" customHeight="1" x14ac:dyDescent="0.2">
      <c r="A30" s="51" t="s">
        <v>51</v>
      </c>
      <c r="B30" s="51"/>
      <c r="C30" s="52" t="s">
        <v>50</v>
      </c>
      <c r="D30" s="53" t="e">
        <f>IF($P30="A",SUMIFS(D31:D$181,$A31:$A$181,LEFT($A30,$Q30)&amp;"*",$P31:$P$181,"R"),SUMIFS('[1]Balanza Egresos'!$F$1:$F$65536,'[1]Balanza Egresos'!$A$1:$A$65536,$A30))</f>
        <v>#VALUE!</v>
      </c>
      <c r="E30" s="53" t="e">
        <f>IF($P30="A",SUMIFS(E31:E$181,$A31:$A$181,LEFT($A30,$Q30)&amp;"*",$P31:$P$181,"R"),((H30/[1]Parametros!$E$12)*12)+$I30)</f>
        <v>#VALUE!</v>
      </c>
      <c r="F30" s="37">
        <f>IF($P30="A",SUMIFS(F31:F$181,$A31:$A$181,LEFT($A30,$Q30)&amp;"*",$P31:$P$181,"R"),K30+L30+M30+N30+O30)</f>
        <v>16000</v>
      </c>
      <c r="G30" s="60" t="s">
        <v>52</v>
      </c>
      <c r="H30" s="59" t="e">
        <f>IF($P30="A",SUMIFS(H31:H$181,$A31:$A$181,LEFT($A30,$Q30)&amp;"*",$P31:$P$181,"R"),SUMIFS('[1]Balanza Egresos'!$V$1:$V$65536,'[1]Balanza Egresos'!$A$1:$A$65536,$A30))</f>
        <v>#VALUE!</v>
      </c>
      <c r="I30" s="59"/>
      <c r="J30" s="39"/>
      <c r="K30" s="61">
        <f>IF($P30="A",SUMIFS(K31:K$181,$A31:$A$181,LEFT($A30,$Q30)&amp;"*",$P31:$P$181,"R"),0)+16000</f>
        <v>16000</v>
      </c>
      <c r="L30" s="61">
        <f>IF($P30="A",SUMIFS(L31:L$181,$A31:$A$181,LEFT($A30,$Q30)&amp;"*",$P31:$P$181,"R"),0)</f>
        <v>0</v>
      </c>
      <c r="M30" s="61">
        <f>IF($P30="A",SUMIFS(M31:M$181,$A31:$A$181,LEFT($A30,$Q30)&amp;"*",$P31:$P$181,"R"),0)</f>
        <v>0</v>
      </c>
      <c r="N30" s="61">
        <f>IF($P30="A",SUMIFS(N31:N$181,$A31:$A$181,LEFT($A30,$Q30)&amp;"*",$P31:$P$181,"R"),0)</f>
        <v>0</v>
      </c>
      <c r="O30" s="61">
        <f>IF($P30="A",SUMIFS(O31:O$181,$A31:$A$181,LEFT($A30,$Q30)&amp;"*",$P31:$P$181,"R"),0)</f>
        <v>0</v>
      </c>
      <c r="P30" s="41" t="str">
        <f t="shared" si="8"/>
        <v>R</v>
      </c>
      <c r="Q30" s="41">
        <f t="shared" si="9"/>
        <v>4</v>
      </c>
      <c r="R30" s="55" t="e">
        <f t="shared" si="1"/>
        <v>#VALUE!</v>
      </c>
      <c r="S30" s="56">
        <v>1</v>
      </c>
      <c r="T30" s="57">
        <v>3</v>
      </c>
      <c r="U30" s="6"/>
      <c r="V30" s="45" t="e">
        <f t="shared" si="2"/>
        <v>#VALUE!</v>
      </c>
      <c r="W30" s="46" t="e">
        <f t="shared" si="3"/>
        <v>#VALUE!</v>
      </c>
      <c r="X30" s="47" t="e">
        <f t="shared" si="4"/>
        <v>#VALUE!</v>
      </c>
      <c r="Y30" s="46" t="e">
        <f t="shared" si="5"/>
        <v>#VALUE!</v>
      </c>
      <c r="Z30" s="48" t="e">
        <f t="shared" si="6"/>
        <v>#VALUE!</v>
      </c>
      <c r="AA30" s="49" t="e">
        <f t="shared" si="7"/>
        <v>#VALUE!</v>
      </c>
      <c r="AB30" s="39"/>
      <c r="AC30" s="39"/>
      <c r="AD30" s="39"/>
      <c r="AE30" s="39"/>
      <c r="AF30" s="39"/>
      <c r="AG30" s="39"/>
    </row>
    <row r="31" spans="1:33" s="50" customFormat="1" ht="15.75" hidden="1" customHeight="1" x14ac:dyDescent="0.2">
      <c r="A31" s="51" t="s">
        <v>53</v>
      </c>
      <c r="B31" s="51"/>
      <c r="C31" s="52" t="str">
        <f>IFERROR(INDEX('[1]Balanza Egresos'!A$1:C$65536,MATCH(A31,'[1]Balanza Egresos'!A$1:A$65536,0),2),"SIN CUENTA")</f>
        <v>SIN CUENTA</v>
      </c>
      <c r="D31" s="53" t="e">
        <f>IF($P31="A",SUMIFS(D32:D$181,$A32:$A$181,LEFT($A31,$Q31)&amp;"*",$P32:$P$181,"R"),SUMIFS('[1]Balanza Egresos'!$F$1:$F$65536,'[1]Balanza Egresos'!$A$1:$A$65536,$A31))</f>
        <v>#VALUE!</v>
      </c>
      <c r="E31" s="53" t="e">
        <f>IF($P31="A",SUMIFS(E32:E$181,$A32:$A$181,LEFT($A31,$Q31)&amp;"*",$P32:$P$181,"R"),((H31/[1]Parametros!$E$12)*12)+$I31)</f>
        <v>#VALUE!</v>
      </c>
      <c r="F31" s="37">
        <f>IF($P31="A",SUMIFS(F32:F$181,$A32:$A$181,LEFT($A31,$Q31)&amp;"*",$P32:$P$181,"R"),K31+L31+M31+N31)</f>
        <v>0</v>
      </c>
      <c r="G31" s="58"/>
      <c r="H31" s="59" t="e">
        <f>IF($P31="A",SUMIFS(H32:H$181,$A32:$A$181,LEFT($A31,$Q31)&amp;"*",$P32:$P$181,"R"),SUMIFS('[1]Balanza Egresos'!$V$1:$V$65536,'[1]Balanza Egresos'!$A$1:$A$65536,$A31))</f>
        <v>#VALUE!</v>
      </c>
      <c r="I31" s="59"/>
      <c r="J31" s="39"/>
      <c r="K31" s="61">
        <f>IF($P31="A",SUMIFS(K32:K$181,$A32:$A$181,LEFT($A31,$Q31)&amp;"*",$P32:$P$181,"R"),0)</f>
        <v>0</v>
      </c>
      <c r="L31" s="61">
        <f>IF($P31="A",SUMIFS(L32:L$181,$A32:$A$181,LEFT($A31,$Q31)&amp;"*",$P32:$P$181,"R"),0)</f>
        <v>0</v>
      </c>
      <c r="M31" s="61">
        <f>IF($P31="A",SUMIFS(M32:M$181,$A32:$A$181,LEFT($A31,$Q31)&amp;"*",$P32:$P$181,"R"),0)</f>
        <v>0</v>
      </c>
      <c r="N31" s="61">
        <f>IF($P31="A",SUMIFS(N32:N$181,$A32:$A$181,LEFT($A31,$Q31)&amp;"*",$P32:$P$181,"R"),0)</f>
        <v>0</v>
      </c>
      <c r="O31" s="61">
        <f>IF($P31="A",SUMIFS(O32:O$181,$A32:$A$181,LEFT($A31,$Q31)&amp;"*",$P32:$P$181,"R"),0)</f>
        <v>0</v>
      </c>
      <c r="P31" s="41" t="str">
        <f t="shared" si="8"/>
        <v>A</v>
      </c>
      <c r="Q31" s="41">
        <f t="shared" si="9"/>
        <v>3</v>
      </c>
      <c r="R31" s="55" t="e">
        <f t="shared" si="1"/>
        <v>#VALUE!</v>
      </c>
      <c r="S31" s="56">
        <v>1</v>
      </c>
      <c r="T31" s="57">
        <v>3</v>
      </c>
      <c r="U31" s="6"/>
      <c r="V31" s="45" t="e">
        <f t="shared" si="2"/>
        <v>#VALUE!</v>
      </c>
      <c r="W31" s="46" t="e">
        <f t="shared" si="3"/>
        <v>#VALUE!</v>
      </c>
      <c r="X31" s="47" t="e">
        <f t="shared" si="4"/>
        <v>#VALUE!</v>
      </c>
      <c r="Y31" s="46" t="e">
        <f t="shared" si="5"/>
        <v>#VALUE!</v>
      </c>
      <c r="Z31" s="48" t="e">
        <f t="shared" si="6"/>
        <v>#VALUE!</v>
      </c>
      <c r="AA31" s="49" t="e">
        <f t="shared" si="7"/>
        <v>#VALUE!</v>
      </c>
      <c r="AB31" s="39"/>
      <c r="AC31" s="39"/>
      <c r="AD31" s="39"/>
      <c r="AE31" s="39"/>
      <c r="AF31" s="39"/>
      <c r="AG31" s="39"/>
    </row>
    <row r="32" spans="1:33" s="50" customFormat="1" ht="15.75" hidden="1" customHeight="1" x14ac:dyDescent="0.2">
      <c r="A32" s="51" t="s">
        <v>54</v>
      </c>
      <c r="B32" s="51"/>
      <c r="C32" s="52" t="str">
        <f>IFERROR(INDEX('[1]Balanza Egresos'!A$1:C$65536,MATCH(A32,'[1]Balanza Egresos'!A$1:A$65536,0),2),"SIN CUENTA")</f>
        <v>SIN CUENTA</v>
      </c>
      <c r="D32" s="53" t="e">
        <f>IF($P32="A",SUMIFS(D33:D$181,$A33:$A$181,LEFT($A32,$Q32)&amp;"*",$P33:$P$181,"R"),SUMIFS('[1]Balanza Egresos'!$F$1:$F$65536,'[1]Balanza Egresos'!$A$1:$A$65536,$A32))</f>
        <v>#VALUE!</v>
      </c>
      <c r="E32" s="53" t="e">
        <f>IF($P32="A",SUMIFS(E33:E$181,$A33:$A$181,LEFT($A32,$Q32)&amp;"*",$P33:$P$181,"R"),((H32/[1]Parametros!$E$12)*12)+$I32)</f>
        <v>#VALUE!</v>
      </c>
      <c r="F32" s="37">
        <f>IF($P32="A",SUMIFS(F33:F$181,$A33:$A$181,LEFT($A32,$Q32)&amp;"*",$P33:$P$181,"R"),K32+L32+M32+N32+O32)</f>
        <v>0</v>
      </c>
      <c r="G32" s="58"/>
      <c r="H32" s="59" t="e">
        <f>IF($P32="A",SUMIFS(H33:H$181,$A33:$A$181,LEFT($A32,$Q32)&amp;"*",$P33:$P$181,"R"),SUMIFS('[1]Balanza Egresos'!$V$1:$V$65536,'[1]Balanza Egresos'!$A$1:$A$65536,$A32))</f>
        <v>#VALUE!</v>
      </c>
      <c r="I32" s="59"/>
      <c r="J32" s="39"/>
      <c r="K32" s="61">
        <f>IF($P32="A",SUMIFS(K33:K$181,$A33:$A$181,LEFT($A32,$Q32)&amp;"*",$P33:$P$181,"R"),0)</f>
        <v>0</v>
      </c>
      <c r="L32" s="61">
        <f>IF($P32="A",SUMIFS(L33:L$181,$A33:$A$181,LEFT($A32,$Q32)&amp;"*",$P33:$P$181,"R"),0)</f>
        <v>0</v>
      </c>
      <c r="M32" s="61">
        <f>IF($P32="A",SUMIFS(M33:M$181,$A33:$A$181,LEFT($A32,$Q32)&amp;"*",$P33:$P$181,"R"),0)</f>
        <v>0</v>
      </c>
      <c r="N32" s="61">
        <f>IF($P32="A",SUMIFS(N33:N$181,$A33:$A$181,LEFT($A32,$Q32)&amp;"*",$P33:$P$181,"R"),0)</f>
        <v>0</v>
      </c>
      <c r="O32" s="61">
        <f>IF($P32="A",SUMIFS(O33:O$181,$A33:$A$181,LEFT($A32,$Q32)&amp;"*",$P33:$P$181,"R"),0)</f>
        <v>0</v>
      </c>
      <c r="P32" s="41" t="str">
        <f t="shared" si="8"/>
        <v>R</v>
      </c>
      <c r="Q32" s="41">
        <f t="shared" si="9"/>
        <v>4</v>
      </c>
      <c r="R32" s="55" t="e">
        <f t="shared" si="1"/>
        <v>#VALUE!</v>
      </c>
      <c r="S32" s="56">
        <v>1</v>
      </c>
      <c r="T32" s="57">
        <v>3</v>
      </c>
      <c r="U32" s="6"/>
      <c r="V32" s="45" t="e">
        <f t="shared" si="2"/>
        <v>#VALUE!</v>
      </c>
      <c r="W32" s="46" t="e">
        <f t="shared" si="3"/>
        <v>#VALUE!</v>
      </c>
      <c r="X32" s="47" t="e">
        <f t="shared" si="4"/>
        <v>#VALUE!</v>
      </c>
      <c r="Y32" s="46" t="e">
        <f t="shared" si="5"/>
        <v>#VALUE!</v>
      </c>
      <c r="Z32" s="48" t="e">
        <f t="shared" si="6"/>
        <v>#VALUE!</v>
      </c>
      <c r="AA32" s="49" t="e">
        <f t="shared" si="7"/>
        <v>#VALUE!</v>
      </c>
      <c r="AB32" s="39"/>
      <c r="AC32" s="39"/>
      <c r="AD32" s="39"/>
      <c r="AE32" s="39"/>
      <c r="AF32" s="39"/>
      <c r="AG32" s="39"/>
    </row>
    <row r="33" spans="1:33" s="50" customFormat="1" ht="15.75" customHeight="1" x14ac:dyDescent="0.2">
      <c r="A33" s="51" t="s">
        <v>55</v>
      </c>
      <c r="B33" s="51"/>
      <c r="C33" s="52" t="str">
        <f>IFERROR(INDEX('[1]Balanza Egresos'!A$1:C$65536,MATCH(A33,'[1]Balanza Egresos'!A$1:A$65536,0),2),"SIN CUENTA")</f>
        <v>EQUIPO E INSTRUMENTAL MÉDICO Y DE LABORATORIO</v>
      </c>
      <c r="D33" s="53" t="e">
        <f>IF($P33="A",SUMIFS(D34:D$181,$A34:$A$181,LEFT($A33,$Q33)&amp;"*",$P34:$P$181,"R"),SUMIFS('[1]Balanza Egresos'!$F$1:$F$65536,'[1]Balanza Egresos'!$A$1:$A$65536,$A33))</f>
        <v>#VALUE!</v>
      </c>
      <c r="E33" s="53" t="e">
        <f>IF($P33="A",SUMIFS(E34:E$181,$A34:$A$181,LEFT($A33,$Q33)&amp;"*",$P34:$P$181,"R"),((H33/[1]Parametros!$E$12)*12)+$I33)</f>
        <v>#VALUE!</v>
      </c>
      <c r="F33" s="37">
        <f>IF($P33="A",SUMIFS(F34:F$181,$A34:$A$181,LEFT($A33,$Q33)&amp;"*",$P34:$P$181,"R"),K33+L33+M33+N33)</f>
        <v>100000</v>
      </c>
      <c r="G33" s="62"/>
      <c r="H33" s="59" t="e">
        <f>IF($P33="A",SUMIFS(H34:H$181,$A34:$A$181,LEFT($A33,$Q33)&amp;"*",$P34:$P$181,"R"),SUMIFS('[1]Balanza Egresos'!$V$1:$V$65536,'[1]Balanza Egresos'!$A$1:$A$65536,$A33))</f>
        <v>#VALUE!</v>
      </c>
      <c r="I33" s="59"/>
      <c r="J33" s="39"/>
      <c r="K33" s="61">
        <f>IF($P33="A",SUMIFS(K34:K$181,$A34:$A$181,LEFT($A33,$Q33)&amp;"*",$P34:$P$181,"R"),0)</f>
        <v>0</v>
      </c>
      <c r="L33" s="61">
        <f>IF($P33="A",SUMIFS(L34:L$181,$A34:$A$181,LEFT($A33,$Q33)&amp;"*",$P34:$P$181,"R"),0)</f>
        <v>0</v>
      </c>
      <c r="M33" s="61">
        <f>IF($P33="A",SUMIFS(M34:M$181,$A34:$A$181,LEFT($A33,$Q33)&amp;"*",$P34:$P$181,"R"),0)</f>
        <v>0</v>
      </c>
      <c r="N33" s="61">
        <f>IF($P33="A",SUMIFS(N34:N$181,$A34:$A$181,LEFT($A33,$Q33)&amp;"*",$P34:$P$181,"R"),0)</f>
        <v>50000</v>
      </c>
      <c r="O33" s="61">
        <f>IF($P33="A",SUMIFS(O34:O$181,$A34:$A$181,LEFT($A33,$Q33)&amp;"*",$P34:$P$181,"R"),0)</f>
        <v>50000</v>
      </c>
      <c r="P33" s="41" t="str">
        <f t="shared" si="8"/>
        <v>A</v>
      </c>
      <c r="Q33" s="41">
        <f t="shared" si="9"/>
        <v>2</v>
      </c>
      <c r="R33" s="55" t="e">
        <f t="shared" si="1"/>
        <v>#VALUE!</v>
      </c>
      <c r="S33" s="56">
        <v>1</v>
      </c>
      <c r="T33" s="57">
        <v>3</v>
      </c>
      <c r="U33" s="6"/>
      <c r="V33" s="45" t="e">
        <f t="shared" si="2"/>
        <v>#VALUE!</v>
      </c>
      <c r="W33" s="46" t="e">
        <f t="shared" si="3"/>
        <v>#VALUE!</v>
      </c>
      <c r="X33" s="47" t="e">
        <f t="shared" si="4"/>
        <v>#VALUE!</v>
      </c>
      <c r="Y33" s="46" t="e">
        <f t="shared" si="5"/>
        <v>#VALUE!</v>
      </c>
      <c r="Z33" s="48" t="e">
        <f t="shared" si="6"/>
        <v>#VALUE!</v>
      </c>
      <c r="AA33" s="49" t="e">
        <f t="shared" si="7"/>
        <v>#VALUE!</v>
      </c>
      <c r="AB33" s="39"/>
      <c r="AC33" s="39"/>
      <c r="AD33" s="39"/>
      <c r="AE33" s="39"/>
      <c r="AF33" s="39"/>
      <c r="AG33" s="39"/>
    </row>
    <row r="34" spans="1:33" s="50" customFormat="1" ht="15.75" customHeight="1" x14ac:dyDescent="0.2">
      <c r="A34" s="51" t="s">
        <v>56</v>
      </c>
      <c r="B34" s="51"/>
      <c r="C34" s="52" t="str">
        <f>IFERROR(INDEX('[1]Balanza Egresos'!A$1:C$65536,MATCH(A34,'[1]Balanza Egresos'!A$1:A$65536,0),2),"SIN CUENTA")</f>
        <v xml:space="preserve">  Equipo médico y de laboratorio</v>
      </c>
      <c r="D34" s="53" t="e">
        <f>IF($P34="A",SUMIFS(D35:D$181,$A35:$A$181,LEFT($A34,$Q34)&amp;"*",$P35:$P$181,"R"),SUMIFS('[1]Balanza Egresos'!$F$1:$F$65536,'[1]Balanza Egresos'!$A$1:$A$65536,$A34))</f>
        <v>#VALUE!</v>
      </c>
      <c r="E34" s="53" t="e">
        <f>IF($P34="A",SUMIFS(E35:E$181,$A35:$A$181,LEFT($A34,$Q34)&amp;"*",$P35:$P$181,"R"),((H34/[1]Parametros!$E$12)*12)+$I34)</f>
        <v>#VALUE!</v>
      </c>
      <c r="F34" s="37">
        <f>IF($P34="A",SUMIFS(F35:F$181,$A35:$A$181,LEFT($A34,$Q34)&amp;"*",$P35:$P$181,"R"),K34+L34+M34+N34)</f>
        <v>100000</v>
      </c>
      <c r="G34" s="62"/>
      <c r="H34" s="59" t="e">
        <f>IF($P34="A",SUMIFS(H35:H$181,$A35:$A$181,LEFT($A34,$Q34)&amp;"*",$P35:$P$181,"R"),SUMIFS('[1]Balanza Egresos'!$V$1:$V$65536,'[1]Balanza Egresos'!$A$1:$A$65536,$A34))</f>
        <v>#VALUE!</v>
      </c>
      <c r="I34" s="59"/>
      <c r="J34" s="39"/>
      <c r="K34" s="61">
        <f>IF($P34="A",SUMIFS(K35:K$181,$A35:$A$181,LEFT($A34,$Q34)&amp;"*",$P35:$P$181,"R"),0)</f>
        <v>0</v>
      </c>
      <c r="L34" s="61">
        <f>IF($P34="A",SUMIFS(L35:L$181,$A35:$A$181,LEFT($A34,$Q34)&amp;"*",$P35:$P$181,"R"),0)</f>
        <v>0</v>
      </c>
      <c r="M34" s="61">
        <f>IF($P34="A",SUMIFS(M35:M$181,$A35:$A$181,LEFT($A34,$Q34)&amp;"*",$P35:$P$181,"R"),0)</f>
        <v>0</v>
      </c>
      <c r="N34" s="61">
        <f>IF($P34="A",SUMIFS(N35:N$181,$A35:$A$181,LEFT($A34,$Q34)&amp;"*",$P35:$P$181,"R"),0)</f>
        <v>50000</v>
      </c>
      <c r="O34" s="61">
        <f>IF($P34="A",SUMIFS(O35:O$181,$A35:$A$181,LEFT($A34,$Q34)&amp;"*",$P35:$P$181,"R"),0)</f>
        <v>50000</v>
      </c>
      <c r="P34" s="41" t="str">
        <f t="shared" si="8"/>
        <v>A</v>
      </c>
      <c r="Q34" s="41">
        <f t="shared" si="9"/>
        <v>3</v>
      </c>
      <c r="R34" s="55" t="e">
        <f t="shared" si="1"/>
        <v>#VALUE!</v>
      </c>
      <c r="S34" s="56">
        <v>1</v>
      </c>
      <c r="T34" s="57">
        <v>3</v>
      </c>
      <c r="U34" s="6"/>
      <c r="V34" s="45" t="e">
        <f t="shared" si="2"/>
        <v>#VALUE!</v>
      </c>
      <c r="W34" s="46" t="e">
        <f t="shared" si="3"/>
        <v>#VALUE!</v>
      </c>
      <c r="X34" s="47" t="e">
        <f t="shared" si="4"/>
        <v>#VALUE!</v>
      </c>
      <c r="Y34" s="46" t="e">
        <f t="shared" si="5"/>
        <v>#VALUE!</v>
      </c>
      <c r="Z34" s="48" t="e">
        <f t="shared" si="6"/>
        <v>#VALUE!</v>
      </c>
      <c r="AA34" s="49" t="e">
        <f t="shared" si="7"/>
        <v>#VALUE!</v>
      </c>
      <c r="AB34" s="39"/>
      <c r="AC34" s="39"/>
      <c r="AD34" s="39"/>
      <c r="AE34" s="39"/>
      <c r="AF34" s="39"/>
      <c r="AG34" s="39"/>
    </row>
    <row r="35" spans="1:33" s="50" customFormat="1" ht="15.75" customHeight="1" x14ac:dyDescent="0.2">
      <c r="A35" s="51" t="s">
        <v>57</v>
      </c>
      <c r="B35" s="51"/>
      <c r="C35" s="52" t="str">
        <f>IFERROR(INDEX('[1]Balanza Egresos'!A$1:C$65536,MATCH(A35,'[1]Balanza Egresos'!A$1:A$65536,0),2),"SIN CUENTA")</f>
        <v xml:space="preserve">  Equipo médico y de laboratorio</v>
      </c>
      <c r="D35" s="53" t="e">
        <f>IF($P35="A",SUMIFS(D36:D$181,$A36:$A$181,LEFT($A35,$Q35)&amp;"*",$P36:$P$181,"R"),SUMIFS('[1]Balanza Egresos'!$F$1:$F$65536,'[1]Balanza Egresos'!$A$1:$A$65536,$A35))</f>
        <v>#VALUE!</v>
      </c>
      <c r="E35" s="53" t="e">
        <f>IF($P35="A",SUMIFS(E36:E$181,$A36:$A$181,LEFT($A35,$Q35)&amp;"*",$P36:$P$181,"R"),((H35/[1]Parametros!$E$12)*12)+$I35)</f>
        <v>#VALUE!</v>
      </c>
      <c r="F35" s="37">
        <f>IF($P35="A",SUMIFS(F36:F$181,$A36:$A$181,LEFT($A35,$Q35)&amp;"*",$P36:$P$181,"R"),K35+L35+M35+N35+O35)</f>
        <v>100000</v>
      </c>
      <c r="G35" s="62"/>
      <c r="H35" s="59" t="e">
        <f>IF($P35="A",SUMIFS(H36:H$181,$A36:$A$181,LEFT($A35,$Q35)&amp;"*",$P36:$P$181,"R"),SUMIFS('[1]Balanza Egresos'!$V$1:$V$65536,'[1]Balanza Egresos'!$A$1:$A$65536,$A35))</f>
        <v>#VALUE!</v>
      </c>
      <c r="I35" s="59">
        <f>100000-31498.5</f>
        <v>68501.5</v>
      </c>
      <c r="J35" s="39"/>
      <c r="K35" s="61">
        <f>IF($P35="A",SUMIFS(K36:K$181,$A36:$A$181,LEFT($A35,$Q35)&amp;"*",$P36:$P$181,"R"),0)</f>
        <v>0</v>
      </c>
      <c r="L35" s="61">
        <f>IF($P35="A",SUMIFS(L36:L$181,$A36:$A$181,LEFT($A35,$Q35)&amp;"*",$P36:$P$181,"R"),0)</f>
        <v>0</v>
      </c>
      <c r="M35" s="61">
        <f>IF($P35="A",SUMIFS(M36:M$181,$A36:$A$181,LEFT($A35,$Q35)&amp;"*",$P36:$P$181,"R"),0)</f>
        <v>0</v>
      </c>
      <c r="N35" s="61">
        <f>IF($P35="A",SUMIFS(N36:N$181,$A36:$A$181,LEFT($A35,$Q35)&amp;"*",$P36:$P$181,"R"),0)+50000</f>
        <v>50000</v>
      </c>
      <c r="O35" s="61">
        <f>IF($P35="A",SUMIFS(O36:O$181,$A36:$A$181,LEFT($A35,$Q35)&amp;"*",$P36:$P$181,"R"),0)+50000</f>
        <v>50000</v>
      </c>
      <c r="P35" s="41" t="str">
        <f t="shared" si="8"/>
        <v>R</v>
      </c>
      <c r="Q35" s="41">
        <f t="shared" si="9"/>
        <v>4</v>
      </c>
      <c r="R35" s="55" t="e">
        <f t="shared" si="1"/>
        <v>#VALUE!</v>
      </c>
      <c r="S35" s="56">
        <v>1</v>
      </c>
      <c r="T35" s="57">
        <v>4</v>
      </c>
      <c r="U35" s="6"/>
      <c r="V35" s="45" t="e">
        <f t="shared" si="2"/>
        <v>#VALUE!</v>
      </c>
      <c r="W35" s="46" t="e">
        <f t="shared" si="3"/>
        <v>#VALUE!</v>
      </c>
      <c r="X35" s="47" t="e">
        <f t="shared" si="4"/>
        <v>#VALUE!</v>
      </c>
      <c r="Y35" s="46" t="e">
        <f t="shared" si="5"/>
        <v>#VALUE!</v>
      </c>
      <c r="Z35" s="48" t="e">
        <f t="shared" si="6"/>
        <v>#VALUE!</v>
      </c>
      <c r="AA35" s="49" t="e">
        <f t="shared" si="7"/>
        <v>#VALUE!</v>
      </c>
      <c r="AB35" s="39"/>
      <c r="AC35" s="39"/>
      <c r="AD35" s="39"/>
      <c r="AE35" s="39"/>
      <c r="AF35" s="39"/>
      <c r="AG35" s="39"/>
    </row>
    <row r="36" spans="1:33" s="50" customFormat="1" ht="15.75" hidden="1" customHeight="1" x14ac:dyDescent="0.2">
      <c r="A36" s="51" t="s">
        <v>58</v>
      </c>
      <c r="B36" s="51"/>
      <c r="C36" s="52" t="str">
        <f>IFERROR(INDEX('[1]Balanza Egresos'!A$1:C$65536,MATCH(A36,'[1]Balanza Egresos'!A$1:A$65536,0),2),"SIN CUENTA")</f>
        <v>SIN CUENTA</v>
      </c>
      <c r="D36" s="53" t="e">
        <f>IF($P36="A",SUMIFS(D37:D$181,$A37:$A$181,LEFT($A36,$Q36)&amp;"*",$P37:$P$181,"R"),SUMIFS('[1]Balanza Egresos'!$F$1:$F$65536,'[1]Balanza Egresos'!$A$1:$A$65536,$A36))</f>
        <v>#VALUE!</v>
      </c>
      <c r="E36" s="53" t="e">
        <f>IF($P36="A",SUMIFS(E37:E$181,$A37:$A$181,LEFT($A36,$Q36)&amp;"*",$P37:$P$181,"R"),((H36/[1]Parametros!$E$12)*12)+$I36)</f>
        <v>#VALUE!</v>
      </c>
      <c r="F36" s="37">
        <f>IF($P36="A",SUMIFS(F37:F$181,$A37:$A$181,LEFT($A36,$Q36)&amp;"*",$P37:$P$181,"R"),K36+L36+M36+N36)</f>
        <v>0</v>
      </c>
      <c r="G36" s="58"/>
      <c r="H36" s="59" t="e">
        <f>IF($P36="A",SUMIFS(H37:H$181,$A37:$A$181,LEFT($A36,$Q36)&amp;"*",$P37:$P$181,"R"),SUMIFS('[1]Balanza Egresos'!$V$1:$V$65536,'[1]Balanza Egresos'!$A$1:$A$65536,$A36))</f>
        <v>#VALUE!</v>
      </c>
      <c r="I36" s="59"/>
      <c r="J36" s="39"/>
      <c r="K36" s="61">
        <f>IF($P36="A",SUMIFS(K37:K$181,$A37:$A$181,LEFT($A36,$Q36)&amp;"*",$P37:$P$181,"R"),0)</f>
        <v>0</v>
      </c>
      <c r="L36" s="61">
        <f>IF($P36="A",SUMIFS(L37:L$181,$A37:$A$181,LEFT($A36,$Q36)&amp;"*",$P37:$P$181,"R"),0)</f>
        <v>0</v>
      </c>
      <c r="M36" s="61">
        <f>IF($P36="A",SUMIFS(M37:M$181,$A37:$A$181,LEFT($A36,$Q36)&amp;"*",$P37:$P$181,"R"),0)</f>
        <v>0</v>
      </c>
      <c r="N36" s="61">
        <f>IF($P36="A",SUMIFS(N37:N$181,$A37:$A$181,LEFT($A36,$Q36)&amp;"*",$P37:$P$181,"R"),0)</f>
        <v>0</v>
      </c>
      <c r="O36" s="61">
        <f>IF($P36="A",SUMIFS(O37:O$181,$A37:$A$181,LEFT($A36,$Q36)&amp;"*",$P37:$P$181,"R"),0)</f>
        <v>0</v>
      </c>
      <c r="P36" s="41" t="str">
        <f t="shared" si="8"/>
        <v>A</v>
      </c>
      <c r="Q36" s="41">
        <f t="shared" si="9"/>
        <v>3</v>
      </c>
      <c r="R36" s="55" t="e">
        <f t="shared" si="1"/>
        <v>#VALUE!</v>
      </c>
      <c r="S36" s="56">
        <v>1</v>
      </c>
      <c r="T36" s="57">
        <v>3</v>
      </c>
      <c r="U36" s="6"/>
      <c r="V36" s="45" t="e">
        <f t="shared" si="2"/>
        <v>#VALUE!</v>
      </c>
      <c r="W36" s="46" t="e">
        <f t="shared" si="3"/>
        <v>#VALUE!</v>
      </c>
      <c r="X36" s="47" t="e">
        <f t="shared" si="4"/>
        <v>#VALUE!</v>
      </c>
      <c r="Y36" s="46" t="e">
        <f t="shared" si="5"/>
        <v>#VALUE!</v>
      </c>
      <c r="Z36" s="48" t="e">
        <f t="shared" si="6"/>
        <v>#VALUE!</v>
      </c>
      <c r="AA36" s="49" t="e">
        <f t="shared" si="7"/>
        <v>#VALUE!</v>
      </c>
      <c r="AB36" s="39"/>
      <c r="AC36" s="39"/>
      <c r="AD36" s="39"/>
      <c r="AE36" s="39"/>
      <c r="AF36" s="39"/>
      <c r="AG36" s="39"/>
    </row>
    <row r="37" spans="1:33" s="50" customFormat="1" ht="15.75" hidden="1" customHeight="1" x14ac:dyDescent="0.2">
      <c r="A37" s="51" t="s">
        <v>59</v>
      </c>
      <c r="B37" s="51"/>
      <c r="C37" s="52" t="str">
        <f>IFERROR(INDEX('[1]Balanza Egresos'!A$1:C$65536,MATCH(A37,'[1]Balanza Egresos'!A$1:A$65536,0),2),"SIN CUENTA")</f>
        <v>SIN CUENTA</v>
      </c>
      <c r="D37" s="53" t="e">
        <f>IF($P37="A",SUMIFS(D38:D$181,$A38:$A$181,LEFT($A37,$Q37)&amp;"*",$P38:$P$181,"R"),SUMIFS('[1]Balanza Egresos'!$F$1:$F$65536,'[1]Balanza Egresos'!$A$1:$A$65536,$A37))</f>
        <v>#VALUE!</v>
      </c>
      <c r="E37" s="53" t="e">
        <f>IF($P37="A",SUMIFS(E38:E$181,$A38:$A$181,LEFT($A37,$Q37)&amp;"*",$P38:$P$181,"R"),((H37/[1]Parametros!$E$12)*12)+$I37)</f>
        <v>#VALUE!</v>
      </c>
      <c r="F37" s="37">
        <f>IF($P37="A",SUMIFS(F38:F$181,$A38:$A$181,LEFT($A37,$Q37)&amp;"*",$P38:$P$181,"R"),K37+L37+M37+N37+O37)</f>
        <v>0</v>
      </c>
      <c r="G37" s="58"/>
      <c r="H37" s="59" t="e">
        <f>IF($P37="A",SUMIFS(H38:H$181,$A38:$A$181,LEFT($A37,$Q37)&amp;"*",$P38:$P$181,"R"),SUMIFS('[1]Balanza Egresos'!$V$1:$V$65536,'[1]Balanza Egresos'!$A$1:$A$65536,$A37))</f>
        <v>#VALUE!</v>
      </c>
      <c r="I37" s="59"/>
      <c r="J37" s="39"/>
      <c r="K37" s="61">
        <f>IF($P37="A",SUMIFS(K38:K$181,$A38:$A$181,LEFT($A37,$Q37)&amp;"*",$P38:$P$181,"R"),0)</f>
        <v>0</v>
      </c>
      <c r="L37" s="61">
        <f>IF($P37="A",SUMIFS(L38:L$181,$A38:$A$181,LEFT($A37,$Q37)&amp;"*",$P38:$P$181,"R"),0)</f>
        <v>0</v>
      </c>
      <c r="M37" s="61">
        <f>IF($P37="A",SUMIFS(M38:M$181,$A38:$A$181,LEFT($A37,$Q37)&amp;"*",$P38:$P$181,"R"),0)</f>
        <v>0</v>
      </c>
      <c r="N37" s="61">
        <f>IF($P37="A",SUMIFS(N38:N$181,$A38:$A$181,LEFT($A37,$Q37)&amp;"*",$P38:$P$181,"R"),0)</f>
        <v>0</v>
      </c>
      <c r="O37" s="61">
        <f>IF($P37="A",SUMIFS(O38:O$181,$A38:$A$181,LEFT($A37,$Q37)&amp;"*",$P38:$P$181,"R"),0)</f>
        <v>0</v>
      </c>
      <c r="P37" s="41" t="str">
        <f t="shared" si="8"/>
        <v>R</v>
      </c>
      <c r="Q37" s="41">
        <f t="shared" si="9"/>
        <v>4</v>
      </c>
      <c r="R37" s="55" t="e">
        <f t="shared" si="1"/>
        <v>#VALUE!</v>
      </c>
      <c r="S37" s="56">
        <v>1</v>
      </c>
      <c r="T37" s="57">
        <v>4</v>
      </c>
      <c r="U37" s="6"/>
      <c r="V37" s="45" t="e">
        <f t="shared" si="2"/>
        <v>#VALUE!</v>
      </c>
      <c r="W37" s="46" t="e">
        <f t="shared" si="3"/>
        <v>#VALUE!</v>
      </c>
      <c r="X37" s="47" t="e">
        <f t="shared" si="4"/>
        <v>#VALUE!</v>
      </c>
      <c r="Y37" s="46" t="e">
        <f t="shared" si="5"/>
        <v>#VALUE!</v>
      </c>
      <c r="Z37" s="48" t="e">
        <f t="shared" si="6"/>
        <v>#VALUE!</v>
      </c>
      <c r="AA37" s="49" t="e">
        <f t="shared" si="7"/>
        <v>#VALUE!</v>
      </c>
      <c r="AB37" s="39"/>
      <c r="AC37" s="39"/>
      <c r="AD37" s="39"/>
      <c r="AE37" s="39"/>
      <c r="AF37" s="39"/>
      <c r="AG37" s="39"/>
    </row>
    <row r="38" spans="1:33" s="50" customFormat="1" ht="15.75" hidden="1" customHeight="1" x14ac:dyDescent="0.2">
      <c r="A38" s="51" t="s">
        <v>60</v>
      </c>
      <c r="B38" s="51"/>
      <c r="C38" s="52" t="s">
        <v>61</v>
      </c>
      <c r="D38" s="53" t="e">
        <f>IF($P38="A",SUMIFS(D39:D$181,$A39:$A$181,LEFT($A38,$Q38)&amp;"*",$P39:$P$181,"R"),SUMIFS('[1]Balanza Egresos'!$F$1:$F$65536,'[1]Balanza Egresos'!$A$1:$A$65536,$A38))</f>
        <v>#VALUE!</v>
      </c>
      <c r="E38" s="53" t="e">
        <f>IF($P38="A",SUMIFS(E39:E$181,$A39:$A$181,LEFT($A38,$Q38)&amp;"*",$P39:$P$181,"R"),((H38/[1]Parametros!$E$12)*12)+$I38)</f>
        <v>#VALUE!</v>
      </c>
      <c r="F38" s="37">
        <f>IF($P38="A",SUMIFS(F39:F$181,$A39:$A$181,LEFT($A38,$Q38)&amp;"*",$P39:$P$181,"R"),K38+L38+M38+N38)</f>
        <v>0</v>
      </c>
      <c r="G38" s="58"/>
      <c r="H38" s="59" t="e">
        <f>IF($P38="A",SUMIFS(H39:H$181,$A39:$A$181,LEFT($A38,$Q38)&amp;"*",$P39:$P$181,"R"),SUMIFS('[1]Balanza Egresos'!$V$1:$V$65536,'[1]Balanza Egresos'!$A$1:$A$65536,$A38))</f>
        <v>#VALUE!</v>
      </c>
      <c r="I38" s="59"/>
      <c r="J38" s="39"/>
      <c r="K38" s="61">
        <f>IF($P38="A",SUMIFS(K39:K$181,$A39:$A$181,LEFT($A38,$Q38)&amp;"*",$P39:$P$181,"R"),0)</f>
        <v>0</v>
      </c>
      <c r="L38" s="61">
        <f>IF($P38="A",SUMIFS(L39:L$181,$A39:$A$181,LEFT($A38,$Q38)&amp;"*",$P39:$P$181,"R"),0)</f>
        <v>0</v>
      </c>
      <c r="M38" s="61">
        <f>IF($P38="A",SUMIFS(M39:M$181,$A39:$A$181,LEFT($A38,$Q38)&amp;"*",$P39:$P$181,"R"),0)</f>
        <v>0</v>
      </c>
      <c r="N38" s="61">
        <f>IF($P38="A",SUMIFS(N39:N$181,$A39:$A$181,LEFT($A38,$Q38)&amp;"*",$P39:$P$181,"R"),0)</f>
        <v>0</v>
      </c>
      <c r="O38" s="61">
        <f>IF($P38="A",SUMIFS(O39:O$181,$A39:$A$181,LEFT($A38,$Q38)&amp;"*",$P39:$P$181,"R"),0)</f>
        <v>0</v>
      </c>
      <c r="P38" s="41" t="str">
        <f t="shared" si="8"/>
        <v>A</v>
      </c>
      <c r="Q38" s="41">
        <f t="shared" si="9"/>
        <v>2</v>
      </c>
      <c r="R38" s="55" t="e">
        <f t="shared" si="1"/>
        <v>#VALUE!</v>
      </c>
      <c r="S38" s="56">
        <v>1</v>
      </c>
      <c r="T38" s="57">
        <v>3</v>
      </c>
      <c r="U38" s="6"/>
      <c r="V38" s="45" t="e">
        <f t="shared" si="2"/>
        <v>#VALUE!</v>
      </c>
      <c r="W38" s="46" t="e">
        <f t="shared" si="3"/>
        <v>#VALUE!</v>
      </c>
      <c r="X38" s="47" t="e">
        <f t="shared" si="4"/>
        <v>#VALUE!</v>
      </c>
      <c r="Y38" s="46" t="e">
        <f t="shared" si="5"/>
        <v>#VALUE!</v>
      </c>
      <c r="Z38" s="48" t="e">
        <f t="shared" si="6"/>
        <v>#VALUE!</v>
      </c>
      <c r="AA38" s="49" t="e">
        <f t="shared" si="7"/>
        <v>#VALUE!</v>
      </c>
      <c r="AB38" s="39"/>
      <c r="AC38" s="39"/>
      <c r="AD38" s="39"/>
      <c r="AE38" s="39"/>
      <c r="AF38" s="39"/>
      <c r="AG38" s="39"/>
    </row>
    <row r="39" spans="1:33" s="50" customFormat="1" ht="15" hidden="1" x14ac:dyDescent="0.2">
      <c r="A39" s="51" t="s">
        <v>62</v>
      </c>
      <c r="B39" s="51"/>
      <c r="C39" s="52" t="s">
        <v>61</v>
      </c>
      <c r="D39" s="53" t="e">
        <f>IF($P39="A",SUMIFS(D40:D$181,$A40:$A$181,LEFT($A39,$Q39)&amp;"*",$P40:$P$181,"R"),SUMIFS('[1]Balanza Egresos'!$F$1:$F$65536,'[1]Balanza Egresos'!$A$1:$A$65536,$A39))</f>
        <v>#VALUE!</v>
      </c>
      <c r="E39" s="53" t="e">
        <f>IF($P39="A",SUMIFS(E40:E$181,$A40:$A$181,LEFT($A39,$Q39)&amp;"*",$P40:$P$181,"R"),((H39/[1]Parametros!$E$12)*12)+$I39)</f>
        <v>#VALUE!</v>
      </c>
      <c r="F39" s="37">
        <f>IF($P39="A",SUMIFS(F40:F$181,$A40:$A$181,LEFT($A39,$Q39)&amp;"*",$P40:$P$181,"R"),K39+L39+M39+N39)</f>
        <v>0</v>
      </c>
      <c r="G39" s="62"/>
      <c r="H39" s="59" t="e">
        <f>IF($P39="A",SUMIFS(H40:H$181,$A40:$A$181,LEFT($A39,$Q39)&amp;"*",$P40:$P$181,"R"),SUMIFS('[1]Balanza Egresos'!$V$1:$V$65536,'[1]Balanza Egresos'!$A$1:$A$65536,$A39))</f>
        <v>#VALUE!</v>
      </c>
      <c r="I39" s="59"/>
      <c r="J39" s="39"/>
      <c r="K39" s="61">
        <f>IF($P39="A",SUMIFS(K40:K$181,$A40:$A$181,LEFT($A39,$Q39)&amp;"*",$P40:$P$181,"R"),0)</f>
        <v>0</v>
      </c>
      <c r="L39" s="61">
        <f>IF($P39="A",SUMIFS(L40:L$181,$A40:$A$181,LEFT($A39,$Q39)&amp;"*",$P40:$P$181,"R"),0)</f>
        <v>0</v>
      </c>
      <c r="M39" s="61">
        <f>IF($P39="A",SUMIFS(M40:M$181,$A40:$A$181,LEFT($A39,$Q39)&amp;"*",$P40:$P$181,"R"),0)</f>
        <v>0</v>
      </c>
      <c r="N39" s="61">
        <f>IF($P39="A",SUMIFS(N40:N$181,$A40:$A$181,LEFT($A39,$Q39)&amp;"*",$P40:$P$181,"R"),0)</f>
        <v>0</v>
      </c>
      <c r="O39" s="61">
        <f>IF($P39="A",SUMIFS(O40:O$181,$A40:$A$181,LEFT($A39,$Q39)&amp;"*",$P40:$P$181,"R"),0)</f>
        <v>0</v>
      </c>
      <c r="P39" s="41" t="str">
        <f t="shared" si="8"/>
        <v>A</v>
      </c>
      <c r="Q39" s="41">
        <f t="shared" si="9"/>
        <v>3</v>
      </c>
      <c r="R39" s="55" t="e">
        <f t="shared" si="1"/>
        <v>#VALUE!</v>
      </c>
      <c r="S39" s="56">
        <v>1</v>
      </c>
      <c r="T39" s="57">
        <v>3</v>
      </c>
      <c r="U39" s="6"/>
      <c r="V39" s="45" t="e">
        <f t="shared" si="2"/>
        <v>#VALUE!</v>
      </c>
      <c r="W39" s="46" t="e">
        <f t="shared" si="3"/>
        <v>#VALUE!</v>
      </c>
      <c r="X39" s="47" t="e">
        <f t="shared" si="4"/>
        <v>#VALUE!</v>
      </c>
      <c r="Y39" s="46" t="e">
        <f t="shared" si="5"/>
        <v>#VALUE!</v>
      </c>
      <c r="Z39" s="48" t="e">
        <f t="shared" si="6"/>
        <v>#VALUE!</v>
      </c>
      <c r="AA39" s="49" t="e">
        <f t="shared" si="7"/>
        <v>#VALUE!</v>
      </c>
      <c r="AB39" s="39"/>
      <c r="AC39" s="39"/>
      <c r="AD39" s="39"/>
      <c r="AE39" s="39"/>
      <c r="AF39" s="39"/>
      <c r="AG39" s="39"/>
    </row>
    <row r="40" spans="1:33" s="50" customFormat="1" ht="15.75" hidden="1" customHeight="1" x14ac:dyDescent="0.2">
      <c r="A40" s="51" t="s">
        <v>63</v>
      </c>
      <c r="B40" s="51"/>
      <c r="C40" s="52" t="s">
        <v>61</v>
      </c>
      <c r="D40" s="53" t="e">
        <f>IF($P40="A",SUMIFS(D41:D$181,$A41:$A$181,LEFT($A40,$Q40)&amp;"*",$P41:$P$181,"R"),SUMIFS('[1]Balanza Egresos'!$F$1:$F$65536,'[1]Balanza Egresos'!$A$1:$A$65536,$A40))</f>
        <v>#VALUE!</v>
      </c>
      <c r="E40" s="53" t="e">
        <f>IF($P40="A",SUMIFS(E41:E$181,$A41:$A$181,LEFT($A40,$Q40)&amp;"*",$P41:$P$181,"R"),((H40/[1]Parametros!$E$12)*12)+$I40)</f>
        <v>#VALUE!</v>
      </c>
      <c r="F40" s="37">
        <f>IF($P40="A",SUMIFS(F41:F$181,$A41:$A$181,LEFT($A40,$Q40)&amp;"*",$P41:$P$181,"R"),K40+L40+M40+N40+O40)</f>
        <v>0</v>
      </c>
      <c r="G40" s="58"/>
      <c r="H40" s="59" t="e">
        <f>IF($P40="A",SUMIFS(H41:H$181,$A41:$A$181,LEFT($A40,$Q40)&amp;"*",$P41:$P$181,"R"),SUMIFS('[1]Balanza Egresos'!$V$1:$V$65536,'[1]Balanza Egresos'!$A$1:$A$65536,$A40))</f>
        <v>#VALUE!</v>
      </c>
      <c r="I40" s="59"/>
      <c r="J40" s="39"/>
      <c r="K40" s="61">
        <f>IF($P40="A",SUMIFS(K41:K$181,$A41:$A$181,LEFT($A40,$Q40)&amp;"*",$P41:$P$181,"R"),0)</f>
        <v>0</v>
      </c>
      <c r="L40" s="61">
        <f>IF($P40="A",SUMIFS(L41:L$181,$A41:$A$181,LEFT($A40,$Q40)&amp;"*",$P41:$P$181,"R"),0)</f>
        <v>0</v>
      </c>
      <c r="M40" s="61">
        <f>IF($P40="A",SUMIFS(M41:M$181,$A41:$A$181,LEFT($A40,$Q40)&amp;"*",$P41:$P$181,"R"),0)</f>
        <v>0</v>
      </c>
      <c r="N40" s="61">
        <f>IF($P40="A",SUMIFS(N41:N$181,$A41:$A$181,LEFT($A40,$Q40)&amp;"*",$P41:$P$181,"R"),0)</f>
        <v>0</v>
      </c>
      <c r="O40" s="61">
        <f>IF($P40="A",SUMIFS(O41:O$181,$A41:$A$181,LEFT($A40,$Q40)&amp;"*",$P41:$P$181,"R"),0)</f>
        <v>0</v>
      </c>
      <c r="P40" s="41" t="str">
        <f t="shared" si="8"/>
        <v>R</v>
      </c>
      <c r="Q40" s="41">
        <f t="shared" si="9"/>
        <v>4</v>
      </c>
      <c r="R40" s="55" t="e">
        <f t="shared" si="1"/>
        <v>#VALUE!</v>
      </c>
      <c r="S40" s="56">
        <v>1</v>
      </c>
      <c r="T40" s="57">
        <v>4</v>
      </c>
      <c r="U40" s="6"/>
      <c r="V40" s="45" t="e">
        <f t="shared" si="2"/>
        <v>#VALUE!</v>
      </c>
      <c r="W40" s="46" t="e">
        <f t="shared" si="3"/>
        <v>#VALUE!</v>
      </c>
      <c r="X40" s="47" t="e">
        <f t="shared" si="4"/>
        <v>#VALUE!</v>
      </c>
      <c r="Y40" s="46" t="e">
        <f t="shared" si="5"/>
        <v>#VALUE!</v>
      </c>
      <c r="Z40" s="48" t="e">
        <f t="shared" si="6"/>
        <v>#VALUE!</v>
      </c>
      <c r="AA40" s="49" t="e">
        <f t="shared" si="7"/>
        <v>#VALUE!</v>
      </c>
      <c r="AB40" s="39"/>
      <c r="AC40" s="39"/>
      <c r="AD40" s="39"/>
      <c r="AE40" s="39"/>
      <c r="AF40" s="39"/>
      <c r="AG40" s="39"/>
    </row>
    <row r="41" spans="1:33" s="50" customFormat="1" ht="15.75" hidden="1" customHeight="1" x14ac:dyDescent="0.2">
      <c r="A41" s="51" t="s">
        <v>64</v>
      </c>
      <c r="B41" s="51"/>
      <c r="C41" s="52" t="str">
        <f>IFERROR(INDEX('[1]Balanza Egresos'!A$1:C$65536,MATCH(A41,'[1]Balanza Egresos'!A$1:A$65536,0),2),"SIN CUENTA")</f>
        <v>SIN CUENTA</v>
      </c>
      <c r="D41" s="53" t="e">
        <f>IF($P41="A",SUMIFS(D42:D$181,$A42:$A$181,LEFT($A41,$Q41)&amp;"*",$P42:$P$181,"R"),SUMIFS('[1]Balanza Egresos'!$F$1:$F$65536,'[1]Balanza Egresos'!$A$1:$A$65536,$A41))</f>
        <v>#VALUE!</v>
      </c>
      <c r="E41" s="53" t="e">
        <f>IF($P41="A",SUMIFS(E42:E$181,$A42:$A$181,LEFT($A41,$Q41)&amp;"*",$P42:$P$181,"R"),((H41/[1]Parametros!$E$12)*12)+$I41)</f>
        <v>#VALUE!</v>
      </c>
      <c r="F41" s="37">
        <f>IF($P41="A",SUMIFS(F42:F$181,$A42:$A$181,LEFT($A41,$Q41)&amp;"*",$P42:$P$181,"R"),K41+L41+M41+N41)</f>
        <v>0</v>
      </c>
      <c r="G41" s="58"/>
      <c r="H41" s="59" t="e">
        <f>IF($P41="A",SUMIFS(H42:H$181,$A42:$A$181,LEFT($A41,$Q41)&amp;"*",$P42:$P$181,"R"),SUMIFS('[1]Balanza Egresos'!$V$1:$V$65536,'[1]Balanza Egresos'!$A$1:$A$65536,$A41))</f>
        <v>#VALUE!</v>
      </c>
      <c r="I41" s="59"/>
      <c r="J41" s="39"/>
      <c r="K41" s="61">
        <f>IF($P41="A",SUMIFS(K42:K$181,$A42:$A$181,LEFT($A41,$Q41)&amp;"*",$P42:$P$181,"R"),0)</f>
        <v>0</v>
      </c>
      <c r="L41" s="61">
        <f>IF($P41="A",SUMIFS(L42:L$181,$A42:$A$181,LEFT($A41,$Q41)&amp;"*",$P42:$P$181,"R"),0)</f>
        <v>0</v>
      </c>
      <c r="M41" s="61">
        <f>IF($P41="A",SUMIFS(M42:M$181,$A42:$A$181,LEFT($A41,$Q41)&amp;"*",$P42:$P$181,"R"),0)</f>
        <v>0</v>
      </c>
      <c r="N41" s="61">
        <f>IF($P41="A",SUMIFS(N42:N$181,$A42:$A$181,LEFT($A41,$Q41)&amp;"*",$P42:$P$181,"R"),0)</f>
        <v>0</v>
      </c>
      <c r="O41" s="61">
        <f>IF($P41="A",SUMIFS(O42:O$181,$A42:$A$181,LEFT($A41,$Q41)&amp;"*",$P42:$P$181,"R"),0)</f>
        <v>0</v>
      </c>
      <c r="P41" s="41" t="str">
        <f t="shared" si="8"/>
        <v>A</v>
      </c>
      <c r="Q41" s="41">
        <f t="shared" si="9"/>
        <v>3</v>
      </c>
      <c r="R41" s="55" t="e">
        <f t="shared" si="1"/>
        <v>#VALUE!</v>
      </c>
      <c r="S41" s="56">
        <v>1</v>
      </c>
      <c r="T41" s="57">
        <v>4</v>
      </c>
      <c r="U41" s="6"/>
      <c r="V41" s="45" t="e">
        <f t="shared" si="2"/>
        <v>#VALUE!</v>
      </c>
      <c r="W41" s="46" t="e">
        <f t="shared" si="3"/>
        <v>#VALUE!</v>
      </c>
      <c r="X41" s="47" t="e">
        <f t="shared" si="4"/>
        <v>#VALUE!</v>
      </c>
      <c r="Y41" s="46" t="e">
        <f t="shared" si="5"/>
        <v>#VALUE!</v>
      </c>
      <c r="Z41" s="48" t="e">
        <f t="shared" si="6"/>
        <v>#VALUE!</v>
      </c>
      <c r="AA41" s="49" t="e">
        <f t="shared" si="7"/>
        <v>#VALUE!</v>
      </c>
      <c r="AB41" s="39"/>
      <c r="AC41" s="39"/>
      <c r="AD41" s="39"/>
      <c r="AE41" s="39"/>
      <c r="AF41" s="39"/>
      <c r="AG41" s="39"/>
    </row>
    <row r="42" spans="1:33" s="50" customFormat="1" ht="15.75" hidden="1" customHeight="1" x14ac:dyDescent="0.2">
      <c r="A42" s="51" t="s">
        <v>65</v>
      </c>
      <c r="B42" s="51"/>
      <c r="C42" s="52" t="str">
        <f>IFERROR(INDEX('[1]Balanza Egresos'!A$1:C$65536,MATCH(A42,'[1]Balanza Egresos'!A$1:A$65536,0),2),"SIN CUENTA")</f>
        <v>SIN CUENTA</v>
      </c>
      <c r="D42" s="53" t="e">
        <f>IF($P42="A",SUMIFS(D43:D$181,$A43:$A$181,LEFT($A42,$Q42)&amp;"*",$P43:$P$181,"R"),SUMIFS('[1]Balanza Egresos'!$F$1:$F$65536,'[1]Balanza Egresos'!$A$1:$A$65536,$A42))</f>
        <v>#VALUE!</v>
      </c>
      <c r="E42" s="53" t="e">
        <f>IF($P42="A",SUMIFS(E43:E$181,$A43:$A$181,LEFT($A42,$Q42)&amp;"*",$P43:$P$181,"R"),((H42/[1]Parametros!$E$12)*12)+$I42)</f>
        <v>#VALUE!</v>
      </c>
      <c r="F42" s="37">
        <f>IF($P42="A",SUMIFS(F43:F$181,$A43:$A$181,LEFT($A42,$Q42)&amp;"*",$P43:$P$181,"R"),K42+L42+M42+N42+O42)</f>
        <v>0</v>
      </c>
      <c r="G42" s="58"/>
      <c r="H42" s="59" t="e">
        <f>IF($P42="A",SUMIFS(H43:H$181,$A43:$A$181,LEFT($A42,$Q42)&amp;"*",$P43:$P$181,"R"),SUMIFS('[1]Balanza Egresos'!$V$1:$V$65536,'[1]Balanza Egresos'!$A$1:$A$65536,$A42))</f>
        <v>#VALUE!</v>
      </c>
      <c r="I42" s="59"/>
      <c r="J42" s="39"/>
      <c r="K42" s="61">
        <f>IF($P42="A",SUMIFS(K43:K$181,$A43:$A$181,LEFT($A42,$Q42)&amp;"*",$P43:$P$181,"R"),0)</f>
        <v>0</v>
      </c>
      <c r="L42" s="61">
        <f>IF($P42="A",SUMIFS(L43:L$181,$A43:$A$181,LEFT($A42,$Q42)&amp;"*",$P43:$P$181,"R"),0)</f>
        <v>0</v>
      </c>
      <c r="M42" s="61">
        <f>IF($P42="A",SUMIFS(M43:M$181,$A43:$A$181,LEFT($A42,$Q42)&amp;"*",$P43:$P$181,"R"),0)</f>
        <v>0</v>
      </c>
      <c r="N42" s="61">
        <f>IF($P42="A",SUMIFS(N43:N$181,$A43:$A$181,LEFT($A42,$Q42)&amp;"*",$P43:$P$181,"R"),0)</f>
        <v>0</v>
      </c>
      <c r="O42" s="61">
        <f>IF($P42="A",SUMIFS(O43:O$181,$A43:$A$181,LEFT($A42,$Q42)&amp;"*",$P43:$P$181,"R"),0)</f>
        <v>0</v>
      </c>
      <c r="P42" s="41" t="str">
        <f t="shared" si="8"/>
        <v>R</v>
      </c>
      <c r="Q42" s="41">
        <f t="shared" si="9"/>
        <v>4</v>
      </c>
      <c r="R42" s="55" t="e">
        <f t="shared" si="1"/>
        <v>#VALUE!</v>
      </c>
      <c r="S42" s="56">
        <v>1</v>
      </c>
      <c r="T42" s="57">
        <v>5</v>
      </c>
      <c r="U42" s="6"/>
      <c r="V42" s="45" t="e">
        <f t="shared" si="2"/>
        <v>#VALUE!</v>
      </c>
      <c r="W42" s="46" t="e">
        <f t="shared" si="3"/>
        <v>#VALUE!</v>
      </c>
      <c r="X42" s="47" t="e">
        <f t="shared" si="4"/>
        <v>#VALUE!</v>
      </c>
      <c r="Y42" s="46" t="e">
        <f t="shared" si="5"/>
        <v>#VALUE!</v>
      </c>
      <c r="Z42" s="48" t="e">
        <f t="shared" si="6"/>
        <v>#VALUE!</v>
      </c>
      <c r="AA42" s="49" t="e">
        <f t="shared" si="7"/>
        <v>#VALUE!</v>
      </c>
      <c r="AB42" s="39"/>
      <c r="AC42" s="39"/>
      <c r="AD42" s="39"/>
      <c r="AE42" s="39"/>
      <c r="AF42" s="39"/>
      <c r="AG42" s="39"/>
    </row>
    <row r="43" spans="1:33" s="50" customFormat="1" ht="15.75" hidden="1" customHeight="1" x14ac:dyDescent="0.2">
      <c r="A43" s="51" t="s">
        <v>66</v>
      </c>
      <c r="B43" s="51"/>
      <c r="C43" s="52" t="str">
        <f>IFERROR(INDEX('[1]Balanza Egresos'!A$1:C$65536,MATCH(A43,'[1]Balanza Egresos'!A$1:A$65536,0),2),"SIN CUENTA")</f>
        <v>SIN CUENTA</v>
      </c>
      <c r="D43" s="53" t="e">
        <f>IF($P43="A",SUMIFS(D44:D$181,$A44:$A$181,LEFT($A43,$Q43)&amp;"*",$P44:$P$181,"R"),SUMIFS('[1]Balanza Egresos'!$F$1:$F$65536,'[1]Balanza Egresos'!$A$1:$A$65536,$A43))</f>
        <v>#VALUE!</v>
      </c>
      <c r="E43" s="53" t="e">
        <f>IF($P43="A",SUMIFS(E44:E$181,$A44:$A$181,LEFT($A43,$Q43)&amp;"*",$P44:$P$181,"R"),((H43/[1]Parametros!$E$12)*12)+$I43)</f>
        <v>#VALUE!</v>
      </c>
      <c r="F43" s="37">
        <f>IF($P43="A",SUMIFS(F44:F$181,$A44:$A$181,LEFT($A43,$Q43)&amp;"*",$P44:$P$181,"R"),K43+L43+M43+N43)</f>
        <v>0</v>
      </c>
      <c r="G43" s="62"/>
      <c r="H43" s="59" t="e">
        <f>IF($P43="A",SUMIFS(H44:H$181,$A44:$A$181,LEFT($A43,$Q43)&amp;"*",$P44:$P$181,"R"),SUMIFS('[1]Balanza Egresos'!$V$1:$V$65536,'[1]Balanza Egresos'!$A$1:$A$65536,$A43))</f>
        <v>#VALUE!</v>
      </c>
      <c r="I43" s="59"/>
      <c r="J43" s="39"/>
      <c r="K43" s="61">
        <f>IF($P43="A",SUMIFS(K44:K$181,$A44:$A$181,LEFT($A43,$Q43)&amp;"*",$P44:$P$181,"R"),0)</f>
        <v>0</v>
      </c>
      <c r="L43" s="61">
        <f>IF($P43="A",SUMIFS(L44:L$181,$A44:$A$181,LEFT($A43,$Q43)&amp;"*",$P44:$P$181,"R"),0)</f>
        <v>0</v>
      </c>
      <c r="M43" s="61">
        <f>IF($P43="A",SUMIFS(M44:M$181,$A44:$A$181,LEFT($A43,$Q43)&amp;"*",$P44:$P$181,"R"),0)</f>
        <v>0</v>
      </c>
      <c r="N43" s="61">
        <f>IF($P43="A",SUMIFS(N44:N$181,$A44:$A$181,LEFT($A43,$Q43)&amp;"*",$P44:$P$181,"R"),0)</f>
        <v>0</v>
      </c>
      <c r="O43" s="61">
        <f>IF($P43="A",SUMIFS(O44:O$181,$A44:$A$181,LEFT($A43,$Q43)&amp;"*",$P44:$P$181,"R"),0)</f>
        <v>0</v>
      </c>
      <c r="P43" s="41" t="str">
        <f t="shared" si="8"/>
        <v>A</v>
      </c>
      <c r="Q43" s="41">
        <f t="shared" si="9"/>
        <v>3</v>
      </c>
      <c r="R43" s="55" t="e">
        <f t="shared" si="1"/>
        <v>#VALUE!</v>
      </c>
      <c r="S43" s="56">
        <v>1</v>
      </c>
      <c r="T43" s="57">
        <v>5</v>
      </c>
      <c r="U43" s="6"/>
      <c r="V43" s="45" t="e">
        <f t="shared" si="2"/>
        <v>#VALUE!</v>
      </c>
      <c r="W43" s="46" t="e">
        <f t="shared" si="3"/>
        <v>#VALUE!</v>
      </c>
      <c r="X43" s="47" t="e">
        <f t="shared" si="4"/>
        <v>#VALUE!</v>
      </c>
      <c r="Y43" s="46" t="e">
        <f t="shared" si="5"/>
        <v>#VALUE!</v>
      </c>
      <c r="Z43" s="48" t="e">
        <f t="shared" si="6"/>
        <v>#VALUE!</v>
      </c>
      <c r="AA43" s="49" t="e">
        <f t="shared" si="7"/>
        <v>#VALUE!</v>
      </c>
      <c r="AB43" s="39"/>
      <c r="AC43" s="39"/>
      <c r="AD43" s="39"/>
      <c r="AE43" s="39"/>
      <c r="AF43" s="39"/>
      <c r="AG43" s="39"/>
    </row>
    <row r="44" spans="1:33" s="50" customFormat="1" ht="15.75" hidden="1" customHeight="1" x14ac:dyDescent="0.2">
      <c r="A44" s="51" t="s">
        <v>67</v>
      </c>
      <c r="B44" s="51"/>
      <c r="C44" s="52" t="str">
        <f>IFERROR(INDEX('[1]Balanza Egresos'!A$1:C$65536,MATCH(A44,'[1]Balanza Egresos'!A$1:A$65536,0),2),"SIN CUENTA")</f>
        <v>SIN CUENTA</v>
      </c>
      <c r="D44" s="53" t="e">
        <f>IF($P44="A",SUMIFS(D45:D$181,$A45:$A$181,LEFT($A44,$Q44)&amp;"*",$P45:$P$181,"R"),SUMIFS('[1]Balanza Egresos'!$F$1:$F$65536,'[1]Balanza Egresos'!$A$1:$A$65536,$A44))</f>
        <v>#VALUE!</v>
      </c>
      <c r="E44" s="53" t="e">
        <f>IF($P44="A",SUMIFS(E45:E$181,$A45:$A$181,LEFT($A44,$Q44)&amp;"*",$P45:$P$181,"R"),((H44/[1]Parametros!$E$12)*12)+$I44)</f>
        <v>#VALUE!</v>
      </c>
      <c r="F44" s="37">
        <f>IF($P44="A",SUMIFS(F45:F$181,$A45:$A$181,LEFT($A44,$Q44)&amp;"*",$P45:$P$181,"R"),K44+L44+M44+N44+O44)</f>
        <v>0</v>
      </c>
      <c r="G44" s="62"/>
      <c r="H44" s="59" t="e">
        <f>IF($P44="A",SUMIFS(H45:H$181,$A45:$A$181,LEFT($A44,$Q44)&amp;"*",$P45:$P$181,"R"),SUMIFS('[1]Balanza Egresos'!$V$1:$V$65536,'[1]Balanza Egresos'!$A$1:$A$65536,$A44))</f>
        <v>#VALUE!</v>
      </c>
      <c r="I44" s="59"/>
      <c r="J44" s="39"/>
      <c r="K44" s="61">
        <f>IF($P44="A",SUMIFS(K45:K$181,$A45:$A$181,LEFT($A44,$Q44)&amp;"*",$P45:$P$181,"R"),0)</f>
        <v>0</v>
      </c>
      <c r="L44" s="61">
        <f>IF($P44="A",SUMIFS(L45:L$181,$A45:$A$181,LEFT($A44,$Q44)&amp;"*",$P45:$P$181,"R"),0)</f>
        <v>0</v>
      </c>
      <c r="M44" s="61">
        <f>IF($P44="A",SUMIFS(M45:M$181,$A45:$A$181,LEFT($A44,$Q44)&amp;"*",$P45:$P$181,"R"),0)</f>
        <v>0</v>
      </c>
      <c r="N44" s="61">
        <f>IF($P44="A",SUMIFS(N45:N$181,$A45:$A$181,LEFT($A44,$Q44)&amp;"*",$P45:$P$181,"R"),0)</f>
        <v>0</v>
      </c>
      <c r="O44" s="61">
        <f>IF($P44="A",SUMIFS(O45:O$181,$A45:$A$181,LEFT($A44,$Q44)&amp;"*",$P45:$P$181,"R"),0)</f>
        <v>0</v>
      </c>
      <c r="P44" s="41" t="str">
        <f t="shared" si="8"/>
        <v>R</v>
      </c>
      <c r="Q44" s="41">
        <f t="shared" si="9"/>
        <v>4</v>
      </c>
      <c r="R44" s="55" t="e">
        <f t="shared" si="1"/>
        <v>#VALUE!</v>
      </c>
      <c r="S44" s="56">
        <v>1</v>
      </c>
      <c r="T44" s="57">
        <v>5</v>
      </c>
      <c r="U44" s="6"/>
      <c r="V44" s="45" t="e">
        <f t="shared" si="2"/>
        <v>#VALUE!</v>
      </c>
      <c r="W44" s="46" t="e">
        <f t="shared" si="3"/>
        <v>#VALUE!</v>
      </c>
      <c r="X44" s="47" t="e">
        <f t="shared" si="4"/>
        <v>#VALUE!</v>
      </c>
      <c r="Y44" s="46" t="e">
        <f t="shared" si="5"/>
        <v>#VALUE!</v>
      </c>
      <c r="Z44" s="48" t="e">
        <f t="shared" si="6"/>
        <v>#VALUE!</v>
      </c>
      <c r="AA44" s="49" t="e">
        <f t="shared" si="7"/>
        <v>#VALUE!</v>
      </c>
      <c r="AB44" s="39"/>
      <c r="AC44" s="39"/>
      <c r="AD44" s="39"/>
      <c r="AE44" s="39"/>
      <c r="AF44" s="39"/>
      <c r="AG44" s="39"/>
    </row>
    <row r="45" spans="1:33" s="50" customFormat="1" ht="15.75" hidden="1" customHeight="1" x14ac:dyDescent="0.2">
      <c r="A45" s="51" t="s">
        <v>68</v>
      </c>
      <c r="B45" s="51"/>
      <c r="C45" s="52" t="str">
        <f>IFERROR(INDEX('[1]Balanza Egresos'!A$1:C$65536,MATCH(A45,'[1]Balanza Egresos'!A$1:A$65536,0),2),"SIN CUENTA")</f>
        <v>SIN CUENTA</v>
      </c>
      <c r="D45" s="53" t="e">
        <f>IF($P45="A",SUMIFS(D46:D$181,$A46:$A$181,LEFT($A45,$Q45)&amp;"*",$P46:$P$181,"R"),SUMIFS('[1]Balanza Egresos'!$F$1:$F$65536,'[1]Balanza Egresos'!$A$1:$A$65536,$A45))</f>
        <v>#VALUE!</v>
      </c>
      <c r="E45" s="53" t="e">
        <f>IF($P45="A",SUMIFS(E46:E$181,$A46:$A$181,LEFT($A45,$Q45)&amp;"*",$P46:$P$181,"R"),((H45/[1]Parametros!$E$12)*12)+$I45)</f>
        <v>#VALUE!</v>
      </c>
      <c r="F45" s="37">
        <f>IF($P45="A",SUMIFS(F46:F$181,$A46:$A$181,LEFT($A45,$Q45)&amp;"*",$P46:$P$181,"R"),K45+L45+M45+N45)</f>
        <v>0</v>
      </c>
      <c r="G45" s="62"/>
      <c r="H45" s="59" t="e">
        <f>IF($P45="A",SUMIFS(H46:H$181,$A46:$A$181,LEFT($A45,$Q45)&amp;"*",$P46:$P$181,"R"),SUMIFS('[1]Balanza Egresos'!$V$1:$V$65536,'[1]Balanza Egresos'!$A$1:$A$65536,$A45))</f>
        <v>#VALUE!</v>
      </c>
      <c r="I45" s="59"/>
      <c r="J45" s="39"/>
      <c r="K45" s="61">
        <f>IF($P45="A",SUMIFS(K46:K$181,$A46:$A$181,LEFT($A45,$Q45)&amp;"*",$P46:$P$181,"R"),0)</f>
        <v>0</v>
      </c>
      <c r="L45" s="61">
        <f>IF($P45="A",SUMIFS(L46:L$181,$A46:$A$181,LEFT($A45,$Q45)&amp;"*",$P46:$P$181,"R"),0)</f>
        <v>0</v>
      </c>
      <c r="M45" s="61">
        <f>IF($P45="A",SUMIFS(M46:M$181,$A46:$A$181,LEFT($A45,$Q45)&amp;"*",$P46:$P$181,"R"),0)</f>
        <v>0</v>
      </c>
      <c r="N45" s="61">
        <f>IF($P45="A",SUMIFS(N46:N$181,$A46:$A$181,LEFT($A45,$Q45)&amp;"*",$P46:$P$181,"R"),0)</f>
        <v>0</v>
      </c>
      <c r="O45" s="61">
        <f>IF($P45="A",SUMIFS(O46:O$181,$A46:$A$181,LEFT($A45,$Q45)&amp;"*",$P46:$P$181,"R"),0)</f>
        <v>0</v>
      </c>
      <c r="P45" s="41" t="str">
        <f t="shared" si="8"/>
        <v>A</v>
      </c>
      <c r="Q45" s="41">
        <f t="shared" si="9"/>
        <v>3</v>
      </c>
      <c r="R45" s="55" t="e">
        <f t="shared" si="1"/>
        <v>#VALUE!</v>
      </c>
      <c r="S45" s="56">
        <v>1</v>
      </c>
      <c r="T45" s="57">
        <v>5</v>
      </c>
      <c r="U45" s="6"/>
      <c r="V45" s="45" t="e">
        <f t="shared" si="2"/>
        <v>#VALUE!</v>
      </c>
      <c r="W45" s="46" t="e">
        <f t="shared" si="3"/>
        <v>#VALUE!</v>
      </c>
      <c r="X45" s="47" t="e">
        <f t="shared" si="4"/>
        <v>#VALUE!</v>
      </c>
      <c r="Y45" s="46" t="e">
        <f t="shared" si="5"/>
        <v>#VALUE!</v>
      </c>
      <c r="Z45" s="48" t="e">
        <f t="shared" si="6"/>
        <v>#VALUE!</v>
      </c>
      <c r="AA45" s="49" t="e">
        <f t="shared" si="7"/>
        <v>#VALUE!</v>
      </c>
      <c r="AB45" s="39"/>
      <c r="AC45" s="39"/>
      <c r="AD45" s="39"/>
      <c r="AE45" s="39"/>
      <c r="AF45" s="39"/>
      <c r="AG45" s="39"/>
    </row>
    <row r="46" spans="1:33" s="50" customFormat="1" ht="19.5" hidden="1" customHeight="1" x14ac:dyDescent="0.2">
      <c r="A46" s="51" t="s">
        <v>69</v>
      </c>
      <c r="B46" s="51"/>
      <c r="C46" s="52" t="str">
        <f>IFERROR(INDEX('[1]Balanza Egresos'!A$1:C$65536,MATCH(A46,'[1]Balanza Egresos'!A$1:A$65536,0),2),"SIN CUENTA")</f>
        <v>SIN CUENTA</v>
      </c>
      <c r="D46" s="53" t="e">
        <f>IF($P46="A",SUMIFS(D47:D$181,$A47:$A$181,LEFT($A46,$Q46)&amp;"*",$P47:$P$181,"R"),SUMIFS('[1]Balanza Egresos'!$F$1:$F$65536,'[1]Balanza Egresos'!$A$1:$A$65536,$A46))</f>
        <v>#VALUE!</v>
      </c>
      <c r="E46" s="53" t="e">
        <f>IF($P46="A",SUMIFS(E47:E$181,$A47:$A$181,LEFT($A46,$Q46)&amp;"*",$P47:$P$181,"R"),((H46/[1]Parametros!$E$12)*12)+$I46)</f>
        <v>#VALUE!</v>
      </c>
      <c r="F46" s="37">
        <f>IF($P46="A",SUMIFS(F47:F$181,$A47:$A$181,LEFT($A46,$Q46)&amp;"*",$P47:$P$181,"R"),K46+L46+M46+N46+O46)</f>
        <v>0</v>
      </c>
      <c r="G46" s="62"/>
      <c r="H46" s="59" t="e">
        <f>IF($P46="A",SUMIFS(H47:H$181,$A47:$A$181,LEFT($A46,$Q46)&amp;"*",$P47:$P$181,"R"),SUMIFS('[1]Balanza Egresos'!$V$1:$V$65536,'[1]Balanza Egresos'!$A$1:$A$65536,$A46))</f>
        <v>#VALUE!</v>
      </c>
      <c r="I46" s="59"/>
      <c r="J46" s="39"/>
      <c r="K46" s="61">
        <f>IF($P46="A",SUMIFS(K47:K$181,$A47:$A$181,LEFT($A46,$Q46)&amp;"*",$P47:$P$181,"R"),0)</f>
        <v>0</v>
      </c>
      <c r="L46" s="61">
        <f>IF($P46="A",SUMIFS(L47:L$181,$A47:$A$181,LEFT($A46,$Q46)&amp;"*",$P47:$P$181,"R"),0)</f>
        <v>0</v>
      </c>
      <c r="M46" s="61">
        <f>IF($P46="A",SUMIFS(M47:M$181,$A47:$A$181,LEFT($A46,$Q46)&amp;"*",$P47:$P$181,"R"),0)</f>
        <v>0</v>
      </c>
      <c r="N46" s="61">
        <f>IF($P46="A",SUMIFS(N47:N$181,$A47:$A$181,LEFT($A46,$Q46)&amp;"*",$P47:$P$181,"R"),0)</f>
        <v>0</v>
      </c>
      <c r="O46" s="61">
        <f>IF($P46="A",SUMIFS(O47:O$181,$A47:$A$181,LEFT($A46,$Q46)&amp;"*",$P47:$P$181,"R"),0)</f>
        <v>0</v>
      </c>
      <c r="P46" s="41" t="str">
        <f t="shared" si="8"/>
        <v>R</v>
      </c>
      <c r="Q46" s="41">
        <f t="shared" si="9"/>
        <v>4</v>
      </c>
      <c r="R46" s="55" t="e">
        <f t="shared" si="1"/>
        <v>#VALUE!</v>
      </c>
      <c r="S46" s="56">
        <v>1</v>
      </c>
      <c r="T46" s="57">
        <v>3</v>
      </c>
      <c r="U46" s="6"/>
      <c r="V46" s="45" t="e">
        <f t="shared" si="2"/>
        <v>#VALUE!</v>
      </c>
      <c r="W46" s="46" t="e">
        <f t="shared" si="3"/>
        <v>#VALUE!</v>
      </c>
      <c r="X46" s="47" t="e">
        <f t="shared" si="4"/>
        <v>#VALUE!</v>
      </c>
      <c r="Y46" s="46" t="e">
        <f t="shared" si="5"/>
        <v>#VALUE!</v>
      </c>
      <c r="Z46" s="48" t="e">
        <f t="shared" si="6"/>
        <v>#VALUE!</v>
      </c>
      <c r="AA46" s="49" t="e">
        <f t="shared" si="7"/>
        <v>#VALUE!</v>
      </c>
      <c r="AB46" s="39"/>
      <c r="AC46" s="39"/>
      <c r="AD46" s="39"/>
      <c r="AE46" s="39"/>
      <c r="AF46" s="39"/>
      <c r="AG46" s="39"/>
    </row>
    <row r="47" spans="1:33" s="50" customFormat="1" ht="15" hidden="1" x14ac:dyDescent="0.2">
      <c r="A47" s="51" t="s">
        <v>70</v>
      </c>
      <c r="B47" s="51"/>
      <c r="C47" s="52" t="str">
        <f>IFERROR(INDEX('[1]Balanza Egresos'!A$1:C$65536,MATCH(A47,'[1]Balanza Egresos'!A$1:A$65536,0),2),"SIN CUENTA")</f>
        <v>SIN CUENTA</v>
      </c>
      <c r="D47" s="53" t="e">
        <f>IF($P47="A",SUMIFS(D48:D$181,$A48:$A$181,LEFT($A47,$Q47)&amp;"*",$P48:$P$181,"R"),SUMIFS('[1]Balanza Egresos'!$F$1:$F$65536,'[1]Balanza Egresos'!$A$1:$A$65536,$A47))</f>
        <v>#VALUE!</v>
      </c>
      <c r="E47" s="53" t="e">
        <f>IF($P47="A",SUMIFS(E48:E$181,$A48:$A$181,LEFT($A47,$Q47)&amp;"*",$P48:$P$181,"R"),((H47/[1]Parametros!$E$12)*12)+$I47)</f>
        <v>#VALUE!</v>
      </c>
      <c r="F47" s="37">
        <f>IF($P47="A",SUMIFS(F48:F$181,$A48:$A$181,LEFT($A47,$Q47)&amp;"*",$P48:$P$181,"R"),K47+L47+M47+N47)</f>
        <v>0</v>
      </c>
      <c r="G47" s="62"/>
      <c r="H47" s="59" t="e">
        <f>IF($P47="A",SUMIFS(H48:H$181,$A48:$A$181,LEFT($A47,$Q47)&amp;"*",$P48:$P$181,"R"),SUMIFS('[1]Balanza Egresos'!$V$1:$V$65536,'[1]Balanza Egresos'!$A$1:$A$65536,$A47))</f>
        <v>#VALUE!</v>
      </c>
      <c r="I47" s="59"/>
      <c r="J47" s="39"/>
      <c r="K47" s="61">
        <f>IF($P47="A",SUMIFS(K48:K$181,$A48:$A$181,LEFT($A47,$Q47)&amp;"*",$P48:$P$181,"R"),0)</f>
        <v>0</v>
      </c>
      <c r="L47" s="61">
        <f>IF($P47="A",SUMIFS(L48:L$181,$A48:$A$181,LEFT($A47,$Q47)&amp;"*",$P48:$P$181,"R"),0)</f>
        <v>0</v>
      </c>
      <c r="M47" s="61">
        <f>IF($P47="A",SUMIFS(M48:M$181,$A48:$A$181,LEFT($A47,$Q47)&amp;"*",$P48:$P$181,"R"),0)</f>
        <v>0</v>
      </c>
      <c r="N47" s="61">
        <f>IF($P47="A",SUMIFS(N48:N$181,$A48:$A$181,LEFT($A47,$Q47)&amp;"*",$P48:$P$181,"R"),0)</f>
        <v>0</v>
      </c>
      <c r="O47" s="61">
        <f>IF($P47="A",SUMIFS(O48:O$181,$A48:$A$181,LEFT($A47,$Q47)&amp;"*",$P48:$P$181,"R"),0)</f>
        <v>0</v>
      </c>
      <c r="P47" s="41" t="str">
        <f t="shared" si="8"/>
        <v>A</v>
      </c>
      <c r="Q47" s="41">
        <f t="shared" si="9"/>
        <v>3</v>
      </c>
      <c r="R47" s="55" t="e">
        <f t="shared" si="1"/>
        <v>#VALUE!</v>
      </c>
      <c r="S47" s="56">
        <v>1</v>
      </c>
      <c r="T47" s="57">
        <v>3</v>
      </c>
      <c r="U47" s="6"/>
      <c r="V47" s="45" t="e">
        <f t="shared" si="2"/>
        <v>#VALUE!</v>
      </c>
      <c r="W47" s="46" t="e">
        <f t="shared" si="3"/>
        <v>#VALUE!</v>
      </c>
      <c r="X47" s="47" t="e">
        <f t="shared" si="4"/>
        <v>#VALUE!</v>
      </c>
      <c r="Y47" s="46" t="e">
        <f t="shared" si="5"/>
        <v>#VALUE!</v>
      </c>
      <c r="Z47" s="48" t="e">
        <f t="shared" si="6"/>
        <v>#VALUE!</v>
      </c>
      <c r="AA47" s="49" t="e">
        <f t="shared" si="7"/>
        <v>#VALUE!</v>
      </c>
      <c r="AB47" s="39"/>
      <c r="AC47" s="39"/>
      <c r="AD47" s="39"/>
      <c r="AE47" s="39"/>
      <c r="AF47" s="39"/>
      <c r="AG47" s="39"/>
    </row>
    <row r="48" spans="1:33" s="50" customFormat="1" ht="16.5" hidden="1" customHeight="1" x14ac:dyDescent="0.2">
      <c r="A48" s="51" t="s">
        <v>71</v>
      </c>
      <c r="B48" s="51"/>
      <c r="C48" s="52" t="str">
        <f>IFERROR(INDEX('[1]Balanza Egresos'!A$1:C$65536,MATCH(A48,'[1]Balanza Egresos'!A$1:A$65536,0),2),"SIN CUENTA")</f>
        <v>SIN CUENTA</v>
      </c>
      <c r="D48" s="53" t="e">
        <f>IF($P48="A",SUMIFS(D49:D$181,$A49:$A$181,LEFT($A48,$Q48)&amp;"*",$P49:$P$181,"R"),SUMIFS('[1]Balanza Egresos'!$F$1:$F$65536,'[1]Balanza Egresos'!$A$1:$A$65536,$A48))</f>
        <v>#VALUE!</v>
      </c>
      <c r="E48" s="53" t="e">
        <f>IF($P48="A",SUMIFS(E49:E$181,$A49:$A$181,LEFT($A48,$Q48)&amp;"*",$P49:$P$181,"R"),((H48/[1]Parametros!$E$12)*12)+$I48)</f>
        <v>#VALUE!</v>
      </c>
      <c r="F48" s="37">
        <f>IF($P48="A",SUMIFS(F49:F$181,$A49:$A$181,LEFT($A48,$Q48)&amp;"*",$P49:$P$181,"R"),K48+L48+M48+N48+O48)</f>
        <v>0</v>
      </c>
      <c r="G48" s="62"/>
      <c r="H48" s="59" t="e">
        <f>IF($P48="A",SUMIFS(H49:H$181,$A49:$A$181,LEFT($A48,$Q48)&amp;"*",$P49:$P$181,"R"),SUMIFS('[1]Balanza Egresos'!$V$1:$V$65536,'[1]Balanza Egresos'!$A$1:$A$65536,$A48))</f>
        <v>#VALUE!</v>
      </c>
      <c r="I48" s="59"/>
      <c r="J48" s="39"/>
      <c r="K48" s="61">
        <f>IF($P48="A",SUMIFS(K49:K$181,$A49:$A$181,LEFT($A48,$Q48)&amp;"*",$P49:$P$181,"R"),0)</f>
        <v>0</v>
      </c>
      <c r="L48" s="61">
        <f>IF($P48="A",SUMIFS(L49:L$181,$A49:$A$181,LEFT($A48,$Q48)&amp;"*",$P49:$P$181,"R"),0)</f>
        <v>0</v>
      </c>
      <c r="M48" s="61">
        <f>IF($P48="A",SUMIFS(M49:M$181,$A49:$A$181,LEFT($A48,$Q48)&amp;"*",$P49:$P$181,"R"),0)</f>
        <v>0</v>
      </c>
      <c r="N48" s="61">
        <f>IF($P48="A",SUMIFS(N49:N$181,$A49:$A$181,LEFT($A48,$Q48)&amp;"*",$P49:$P$181,"R"),0)</f>
        <v>0</v>
      </c>
      <c r="O48" s="61">
        <f>IF($P48="A",SUMIFS(O49:O$181,$A49:$A$181,LEFT($A48,$Q48)&amp;"*",$P49:$P$181,"R"),0)</f>
        <v>0</v>
      </c>
      <c r="P48" s="41" t="str">
        <f t="shared" si="8"/>
        <v>R</v>
      </c>
      <c r="Q48" s="41">
        <f t="shared" si="9"/>
        <v>4</v>
      </c>
      <c r="R48" s="55" t="e">
        <f t="shared" si="1"/>
        <v>#VALUE!</v>
      </c>
      <c r="S48" s="56">
        <v>1</v>
      </c>
      <c r="T48" s="57">
        <v>3</v>
      </c>
      <c r="U48" s="6"/>
      <c r="V48" s="45" t="e">
        <f t="shared" si="2"/>
        <v>#VALUE!</v>
      </c>
      <c r="W48" s="46" t="e">
        <f t="shared" si="3"/>
        <v>#VALUE!</v>
      </c>
      <c r="X48" s="47" t="e">
        <f t="shared" si="4"/>
        <v>#VALUE!</v>
      </c>
      <c r="Y48" s="46" t="e">
        <f t="shared" si="5"/>
        <v>#VALUE!</v>
      </c>
      <c r="Z48" s="48" t="e">
        <f t="shared" si="6"/>
        <v>#VALUE!</v>
      </c>
      <c r="AA48" s="49" t="e">
        <f t="shared" si="7"/>
        <v>#VALUE!</v>
      </c>
      <c r="AB48" s="39"/>
      <c r="AC48" s="39"/>
      <c r="AD48" s="39"/>
      <c r="AE48" s="39"/>
      <c r="AF48" s="39"/>
      <c r="AG48" s="39"/>
    </row>
    <row r="49" spans="1:33" s="50" customFormat="1" ht="15" hidden="1" customHeight="1" x14ac:dyDescent="0.2">
      <c r="A49" s="51" t="s">
        <v>72</v>
      </c>
      <c r="B49" s="51"/>
      <c r="C49" s="52" t="str">
        <f>IFERROR(INDEX('[1]Balanza Egresos'!A$1:C$65536,MATCH(A49,'[1]Balanza Egresos'!A$1:A$65536,0),2),"SIN CUENTA")</f>
        <v>SIN CUENTA</v>
      </c>
      <c r="D49" s="53" t="e">
        <f>IF($P49="A",SUMIFS(D50:D$181,$A50:$A$181,LEFT($A49,$Q49)&amp;"*",$P50:$P$181,"R"),SUMIFS('[1]Balanza Egresos'!$F$1:$F$65536,'[1]Balanza Egresos'!$A$1:$A$65536,$A49))</f>
        <v>#VALUE!</v>
      </c>
      <c r="E49" s="53" t="e">
        <f>IF($P49="A",SUMIFS(E50:E$181,$A50:$A$181,LEFT($A49,$Q49)&amp;"*",$P50:$P$181,"R"),((H49/[1]Parametros!$E$12)*12)+$I49)</f>
        <v>#VALUE!</v>
      </c>
      <c r="F49" s="37">
        <f>IF($P49="A",SUMIFS(F50:F$181,$A50:$A$181,LEFT($A49,$Q49)&amp;"*",$P50:$P$181,"R"),K49+L49+M49+N49)</f>
        <v>0</v>
      </c>
      <c r="G49" s="62"/>
      <c r="H49" s="59" t="e">
        <f>IF($P49="A",SUMIFS(H50:H$181,$A50:$A$181,LEFT($A49,$Q49)&amp;"*",$P50:$P$181,"R"),SUMIFS('[1]Balanza Egresos'!$V$1:$V$65536,'[1]Balanza Egresos'!$A$1:$A$65536,$A49))</f>
        <v>#VALUE!</v>
      </c>
      <c r="I49" s="59"/>
      <c r="J49" s="39"/>
      <c r="K49" s="61">
        <f>IF($P49="A",SUMIFS(K50:K$181,$A50:$A$181,LEFT($A49,$Q49)&amp;"*",$P50:$P$181,"R"),0)</f>
        <v>0</v>
      </c>
      <c r="L49" s="61">
        <f>IF($P49="A",SUMIFS(L50:L$181,$A50:$A$181,LEFT($A49,$Q49)&amp;"*",$P50:$P$181,"R"),0)</f>
        <v>0</v>
      </c>
      <c r="M49" s="61">
        <f>IF($P49="A",SUMIFS(M50:M$181,$A50:$A$181,LEFT($A49,$Q49)&amp;"*",$P50:$P$181,"R"),0)</f>
        <v>0</v>
      </c>
      <c r="N49" s="61">
        <f>IF($P49="A",SUMIFS(N50:N$181,$A50:$A$181,LEFT($A49,$Q49)&amp;"*",$P50:$P$181,"R"),0)</f>
        <v>0</v>
      </c>
      <c r="O49" s="61">
        <f>IF($P49="A",SUMIFS(O50:O$181,$A50:$A$181,LEFT($A49,$Q49)&amp;"*",$P50:$P$181,"R"),0)</f>
        <v>0</v>
      </c>
      <c r="P49" s="41" t="str">
        <f t="shared" si="8"/>
        <v>A</v>
      </c>
      <c r="Q49" s="41">
        <f t="shared" si="9"/>
        <v>3</v>
      </c>
      <c r="R49" s="55" t="e">
        <f t="shared" si="1"/>
        <v>#VALUE!</v>
      </c>
      <c r="S49" s="56">
        <v>1</v>
      </c>
      <c r="T49" s="57">
        <v>3</v>
      </c>
      <c r="U49" s="6"/>
      <c r="V49" s="45" t="e">
        <f t="shared" si="2"/>
        <v>#VALUE!</v>
      </c>
      <c r="W49" s="46" t="e">
        <f t="shared" si="3"/>
        <v>#VALUE!</v>
      </c>
      <c r="X49" s="47" t="e">
        <f t="shared" si="4"/>
        <v>#VALUE!</v>
      </c>
      <c r="Y49" s="46" t="e">
        <f t="shared" si="5"/>
        <v>#VALUE!</v>
      </c>
      <c r="Z49" s="48" t="e">
        <f t="shared" si="6"/>
        <v>#VALUE!</v>
      </c>
      <c r="AA49" s="49" t="e">
        <f t="shared" si="7"/>
        <v>#VALUE!</v>
      </c>
      <c r="AB49" s="39"/>
      <c r="AC49" s="39"/>
      <c r="AD49" s="39"/>
      <c r="AE49" s="39"/>
      <c r="AF49" s="39"/>
      <c r="AG49" s="39"/>
    </row>
    <row r="50" spans="1:33" s="50" customFormat="1" ht="15.75" hidden="1" customHeight="1" x14ac:dyDescent="0.2">
      <c r="A50" s="51" t="s">
        <v>73</v>
      </c>
      <c r="B50" s="51"/>
      <c r="C50" s="52" t="str">
        <f>IFERROR(INDEX('[1]Balanza Egresos'!A$1:C$65536,MATCH(A50,'[1]Balanza Egresos'!A$1:A$65536,0),2),"SIN CUENTA")</f>
        <v>SIN CUENTA</v>
      </c>
      <c r="D50" s="53" t="e">
        <f>IF($P50="A",SUMIFS(D51:D$181,$A51:$A$181,LEFT($A50,$Q50)&amp;"*",$P51:$P$181,"R"),SUMIFS('[1]Balanza Egresos'!$F$1:$F$65536,'[1]Balanza Egresos'!$A$1:$A$65536,$A50))</f>
        <v>#VALUE!</v>
      </c>
      <c r="E50" s="53" t="e">
        <f>IF($P50="A",SUMIFS(E51:E$181,$A51:$A$181,LEFT($A50,$Q50)&amp;"*",$P51:$P$181,"R"),((H50/[1]Parametros!$E$12)*12)+$I50)</f>
        <v>#VALUE!</v>
      </c>
      <c r="F50" s="37">
        <f>IF($P50="A",SUMIFS(F51:F$181,$A51:$A$181,LEFT($A50,$Q50)&amp;"*",$P51:$P$181,"R"),K50+L50+M50+N50+O50)</f>
        <v>0</v>
      </c>
      <c r="G50" s="62"/>
      <c r="H50" s="59" t="e">
        <f>IF($P50="A",SUMIFS(H51:H$181,$A51:$A$181,LEFT($A50,$Q50)&amp;"*",$P51:$P$181,"R"),SUMIFS('[1]Balanza Egresos'!$V$1:$V$65536,'[1]Balanza Egresos'!$A$1:$A$65536,$A50))</f>
        <v>#VALUE!</v>
      </c>
      <c r="I50" s="59"/>
      <c r="J50" s="39"/>
      <c r="K50" s="61">
        <f>IF($P50="A",SUMIFS(K51:K$181,$A51:$A$181,LEFT($A50,$Q50)&amp;"*",$P51:$P$181,"R"),0)</f>
        <v>0</v>
      </c>
      <c r="L50" s="61">
        <f>IF($P50="A",SUMIFS(L51:L$181,$A51:$A$181,LEFT($A50,$Q50)&amp;"*",$P51:$P$181,"R"),0)</f>
        <v>0</v>
      </c>
      <c r="M50" s="61">
        <f>IF($P50="A",SUMIFS(M51:M$181,$A51:$A$181,LEFT($A50,$Q50)&amp;"*",$P51:$P$181,"R"),0)</f>
        <v>0</v>
      </c>
      <c r="N50" s="61">
        <f>IF($P50="A",SUMIFS(N51:N$181,$A51:$A$181,LEFT($A50,$Q50)&amp;"*",$P51:$P$181,"R"),0)</f>
        <v>0</v>
      </c>
      <c r="O50" s="61">
        <f>IF($P50="A",SUMIFS(O51:O$181,$A51:$A$181,LEFT($A50,$Q50)&amp;"*",$P51:$P$181,"R"),0)</f>
        <v>0</v>
      </c>
      <c r="P50" s="41" t="str">
        <f t="shared" si="8"/>
        <v>R</v>
      </c>
      <c r="Q50" s="41">
        <f t="shared" si="9"/>
        <v>4</v>
      </c>
      <c r="R50" s="55" t="e">
        <f t="shared" si="1"/>
        <v>#VALUE!</v>
      </c>
      <c r="S50" s="56">
        <v>1</v>
      </c>
      <c r="T50" s="57">
        <v>3</v>
      </c>
      <c r="U50" s="6"/>
      <c r="V50" s="45" t="e">
        <f t="shared" si="2"/>
        <v>#VALUE!</v>
      </c>
      <c r="W50" s="46" t="e">
        <f t="shared" si="3"/>
        <v>#VALUE!</v>
      </c>
      <c r="X50" s="47" t="e">
        <f t="shared" si="4"/>
        <v>#VALUE!</v>
      </c>
      <c r="Y50" s="46" t="e">
        <f t="shared" si="5"/>
        <v>#VALUE!</v>
      </c>
      <c r="Z50" s="48" t="e">
        <f t="shared" si="6"/>
        <v>#VALUE!</v>
      </c>
      <c r="AA50" s="49" t="e">
        <f t="shared" si="7"/>
        <v>#VALUE!</v>
      </c>
      <c r="AB50" s="39"/>
      <c r="AC50" s="39"/>
      <c r="AD50" s="39"/>
      <c r="AE50" s="39"/>
      <c r="AF50" s="39"/>
      <c r="AG50" s="39"/>
    </row>
    <row r="51" spans="1:33" s="50" customFormat="1" ht="15.75" hidden="1" customHeight="1" x14ac:dyDescent="0.2">
      <c r="A51" s="51" t="s">
        <v>74</v>
      </c>
      <c r="B51" s="51"/>
      <c r="C51" s="52" t="str">
        <f>IFERROR(INDEX('[1]Balanza Egresos'!A$1:C$65536,MATCH(A51,'[1]Balanza Egresos'!A$1:A$65536,0),2),"SIN CUENTA")</f>
        <v>SIN CUENTA</v>
      </c>
      <c r="D51" s="53" t="e">
        <f>IF($P51="A",SUMIFS(D52:D$181,$A52:$A$181,LEFT($A51,$Q51)&amp;"*",$P52:$P$181,"R"),SUMIFS('[1]Balanza Egresos'!$F$1:$F$65536,'[1]Balanza Egresos'!$A$1:$A$65536,$A51))</f>
        <v>#VALUE!</v>
      </c>
      <c r="E51" s="53" t="e">
        <f>IF($P51="A",SUMIFS(E52:E$181,$A52:$A$181,LEFT($A51,$Q51)&amp;"*",$P52:$P$181,"R"),((H51/[1]Parametros!$E$12)*12)+$I51)</f>
        <v>#VALUE!</v>
      </c>
      <c r="F51" s="37">
        <f>IF($P51="A",SUMIFS(F52:F$181,$A52:$A$181,LEFT($A51,$Q51)&amp;"*",$P52:$P$181,"R"),K51+L51+M51+N51)</f>
        <v>0</v>
      </c>
      <c r="G51" s="62"/>
      <c r="H51" s="53" t="e">
        <f>IF($P51="A",SUMIFS(H52:H$181,$A52:$A$181,LEFT($A51,$Q51)&amp;"*",$P52:$P$181,"R"),SUMIFS('[1]Balanza Egresos'!$V$1:$V$65536,'[1]Balanza Egresos'!$A$1:$A$65536,$A51))</f>
        <v>#VALUE!</v>
      </c>
      <c r="I51" s="53">
        <f>SUM(I52:I61)</f>
        <v>0</v>
      </c>
      <c r="J51" s="39"/>
      <c r="K51" s="61">
        <f>IF($P51="A",SUMIFS(K52:K$181,$A52:$A$181,LEFT($A51,$Q51)&amp;"*",$P52:$P$181,"R"),0)</f>
        <v>0</v>
      </c>
      <c r="L51" s="61">
        <f>IF($P51="A",SUMIFS(L52:L$181,$A52:$A$181,LEFT($A51,$Q51)&amp;"*",$P52:$P$181,"R"),0)</f>
        <v>0</v>
      </c>
      <c r="M51" s="61">
        <f>IF($P51="A",SUMIFS(M52:M$181,$A52:$A$181,LEFT($A51,$Q51)&amp;"*",$P52:$P$181,"R"),0)</f>
        <v>0</v>
      </c>
      <c r="N51" s="61">
        <f>IF($P51="A",SUMIFS(N52:N$181,$A52:$A$181,LEFT($A51,$Q51)&amp;"*",$P52:$P$181,"R"),0)</f>
        <v>0</v>
      </c>
      <c r="O51" s="61">
        <f>IF($P51="A",SUMIFS(O52:O$181,$A52:$A$181,LEFT($A51,$Q51)&amp;"*",$P52:$P$181,"R"),0)</f>
        <v>0</v>
      </c>
      <c r="P51" s="41" t="str">
        <f t="shared" si="8"/>
        <v>A</v>
      </c>
      <c r="Q51" s="41">
        <f t="shared" si="9"/>
        <v>2</v>
      </c>
      <c r="R51" s="55" t="e">
        <f t="shared" si="1"/>
        <v>#VALUE!</v>
      </c>
      <c r="S51" s="56">
        <v>1</v>
      </c>
      <c r="T51" s="57" t="s">
        <v>23</v>
      </c>
      <c r="U51" s="6"/>
      <c r="V51" s="45" t="e">
        <f t="shared" si="2"/>
        <v>#VALUE!</v>
      </c>
      <c r="W51" s="46" t="e">
        <f t="shared" si="3"/>
        <v>#VALUE!</v>
      </c>
      <c r="X51" s="47" t="e">
        <f t="shared" si="4"/>
        <v>#VALUE!</v>
      </c>
      <c r="Y51" s="46" t="e">
        <f t="shared" si="5"/>
        <v>#VALUE!</v>
      </c>
      <c r="Z51" s="48" t="e">
        <f t="shared" si="6"/>
        <v>#VALUE!</v>
      </c>
      <c r="AA51" s="49" t="e">
        <f t="shared" si="7"/>
        <v>#VALUE!</v>
      </c>
      <c r="AB51" s="39"/>
      <c r="AC51" s="39"/>
      <c r="AD51" s="39"/>
      <c r="AE51" s="39"/>
      <c r="AF51" s="39"/>
      <c r="AG51" s="39"/>
    </row>
    <row r="52" spans="1:33" s="50" customFormat="1" ht="15.75" hidden="1" customHeight="1" x14ac:dyDescent="0.2">
      <c r="A52" s="51" t="s">
        <v>75</v>
      </c>
      <c r="B52" s="51"/>
      <c r="C52" s="52" t="str">
        <f>IFERROR(INDEX('[1]Balanza Egresos'!A$1:C$65536,MATCH(A52,'[1]Balanza Egresos'!A$1:A$65536,0),2),"SIN CUENTA")</f>
        <v>SIN CUENTA</v>
      </c>
      <c r="D52" s="53" t="e">
        <f>IF($P52="A",SUMIFS(D53:D$181,$A53:$A$181,LEFT($A52,$Q52)&amp;"*",$P53:$P$181,"R"),SUMIFS('[1]Balanza Egresos'!$F$1:$F$65536,'[1]Balanza Egresos'!$A$1:$A$65536,$A52))</f>
        <v>#VALUE!</v>
      </c>
      <c r="E52" s="53" t="e">
        <f>IF($P52="A",SUMIFS(E53:E$181,$A53:$A$181,LEFT($A52,$Q52)&amp;"*",$P53:$P$181,"R"),((H52/[1]Parametros!$E$12)*12)+$I52)</f>
        <v>#VALUE!</v>
      </c>
      <c r="F52" s="37">
        <f>IF($P52="A",SUMIFS(F53:F$181,$A53:$A$181,LEFT($A52,$Q52)&amp;"*",$P53:$P$181,"R"),K52+L52+M52+N52)</f>
        <v>0</v>
      </c>
      <c r="G52" s="62"/>
      <c r="H52" s="59" t="e">
        <f>IF($P52="A",SUMIFS(H53:H$181,$A53:$A$181,LEFT($A52,$Q52)&amp;"*",$P53:$P$181,"R"),SUMIFS('[1]Balanza Egresos'!$V$1:$V$65536,'[1]Balanza Egresos'!$A$1:$A$65536,$A52))</f>
        <v>#VALUE!</v>
      </c>
      <c r="I52" s="59"/>
      <c r="J52" s="39"/>
      <c r="K52" s="61">
        <f>IF($P52="A",SUMIFS(K53:K$181,$A53:$A$181,LEFT($A52,$Q52)&amp;"*",$P53:$P$181,"R"),0)</f>
        <v>0</v>
      </c>
      <c r="L52" s="61">
        <f>IF($P52="A",SUMIFS(L53:L$181,$A53:$A$181,LEFT($A52,$Q52)&amp;"*",$P53:$P$181,"R"),0)</f>
        <v>0</v>
      </c>
      <c r="M52" s="61">
        <f>IF($P52="A",SUMIFS(M53:M$181,$A53:$A$181,LEFT($A52,$Q52)&amp;"*",$P53:$P$181,"R"),0)</f>
        <v>0</v>
      </c>
      <c r="N52" s="61">
        <f>IF($P52="A",SUMIFS(N53:N$181,$A53:$A$181,LEFT($A52,$Q52)&amp;"*",$P53:$P$181,"R"),0)</f>
        <v>0</v>
      </c>
      <c r="O52" s="61">
        <f>IF($P52="A",SUMIFS(O53:O$181,$A53:$A$181,LEFT($A52,$Q52)&amp;"*",$P53:$P$181,"R"),0)</f>
        <v>0</v>
      </c>
      <c r="P52" s="41" t="str">
        <f t="shared" si="8"/>
        <v>A</v>
      </c>
      <c r="Q52" s="41">
        <f t="shared" si="9"/>
        <v>3</v>
      </c>
      <c r="R52" s="55" t="e">
        <f t="shared" si="1"/>
        <v>#VALUE!</v>
      </c>
      <c r="S52" s="56">
        <v>1</v>
      </c>
      <c r="T52" s="57">
        <v>3</v>
      </c>
      <c r="U52" s="6"/>
      <c r="V52" s="45" t="e">
        <f t="shared" si="2"/>
        <v>#VALUE!</v>
      </c>
      <c r="W52" s="46" t="e">
        <f t="shared" si="3"/>
        <v>#VALUE!</v>
      </c>
      <c r="X52" s="47" t="e">
        <f t="shared" si="4"/>
        <v>#VALUE!</v>
      </c>
      <c r="Y52" s="46" t="e">
        <f t="shared" si="5"/>
        <v>#VALUE!</v>
      </c>
      <c r="Z52" s="48" t="e">
        <f t="shared" si="6"/>
        <v>#VALUE!</v>
      </c>
      <c r="AA52" s="49" t="e">
        <f t="shared" si="7"/>
        <v>#VALUE!</v>
      </c>
      <c r="AB52" s="39"/>
      <c r="AC52" s="39"/>
      <c r="AD52" s="39"/>
      <c r="AE52" s="39"/>
      <c r="AF52" s="39"/>
      <c r="AG52" s="39"/>
    </row>
    <row r="53" spans="1:33" s="50" customFormat="1" ht="15.75" hidden="1" customHeight="1" x14ac:dyDescent="0.2">
      <c r="A53" s="51" t="s">
        <v>76</v>
      </c>
      <c r="B53" s="51"/>
      <c r="C53" s="52" t="str">
        <f>IFERROR(INDEX('[1]Balanza Egresos'!A$1:C$65536,MATCH(A53,'[1]Balanza Egresos'!A$1:A$65536,0),2),"SIN CUENTA")</f>
        <v>SIN CUENTA</v>
      </c>
      <c r="D53" s="53" t="e">
        <f>IF($P53="A",SUMIFS(D54:D$181,$A54:$A$181,LEFT($A53,$Q53)&amp;"*",$P54:$P$181,"R"),SUMIFS('[1]Balanza Egresos'!$F$1:$F$65536,'[1]Balanza Egresos'!$A$1:$A$65536,$A53))</f>
        <v>#VALUE!</v>
      </c>
      <c r="E53" s="53" t="e">
        <f>IF($P53="A",SUMIFS(E54:E$181,$A54:$A$181,LEFT($A53,$Q53)&amp;"*",$P54:$P$181,"R"),((H53/[1]Parametros!$E$12)*12)+$I53)</f>
        <v>#VALUE!</v>
      </c>
      <c r="F53" s="37">
        <f>IF($P53="A",SUMIFS(F54:F$181,$A54:$A$181,LEFT($A53,$Q53)&amp;"*",$P54:$P$181,"R"),K53+L53+M53+N53+O53)</f>
        <v>0</v>
      </c>
      <c r="G53" s="62"/>
      <c r="H53" s="59" t="e">
        <f>IF($P53="A",SUMIFS(H54:H$181,$A54:$A$181,LEFT($A53,$Q53)&amp;"*",$P54:$P$181,"R"),SUMIFS('[1]Balanza Egresos'!$V$1:$V$65536,'[1]Balanza Egresos'!$A$1:$A$65536,$A53))</f>
        <v>#VALUE!</v>
      </c>
      <c r="I53" s="59"/>
      <c r="J53" s="39"/>
      <c r="K53" s="61">
        <f>IF($P53="A",SUMIFS(K54:K$181,$A54:$A$181,LEFT($A53,$Q53)&amp;"*",$P54:$P$181,"R"),0)</f>
        <v>0</v>
      </c>
      <c r="L53" s="61">
        <f>IF($P53="A",SUMIFS(L54:L$181,$A54:$A$181,LEFT($A53,$Q53)&amp;"*",$P54:$P$181,"R"),0)</f>
        <v>0</v>
      </c>
      <c r="M53" s="61">
        <f>IF($P53="A",SUMIFS(M54:M$181,$A54:$A$181,LEFT($A53,$Q53)&amp;"*",$P54:$P$181,"R"),0)</f>
        <v>0</v>
      </c>
      <c r="N53" s="61">
        <f>IF($P53="A",SUMIFS(N54:N$181,$A54:$A$181,LEFT($A53,$Q53)&amp;"*",$P54:$P$181,"R"),0)</f>
        <v>0</v>
      </c>
      <c r="O53" s="61">
        <f>IF($P53="A",SUMIFS(O54:O$181,$A54:$A$181,LEFT($A53,$Q53)&amp;"*",$P54:$P$181,"R"),0)</f>
        <v>0</v>
      </c>
      <c r="P53" s="41" t="str">
        <f t="shared" si="8"/>
        <v>R</v>
      </c>
      <c r="Q53" s="41">
        <f t="shared" si="9"/>
        <v>4</v>
      </c>
      <c r="R53" s="55" t="e">
        <f t="shared" si="1"/>
        <v>#VALUE!</v>
      </c>
      <c r="S53" s="56">
        <v>1</v>
      </c>
      <c r="T53" s="57">
        <v>3</v>
      </c>
      <c r="U53" s="6"/>
      <c r="V53" s="45" t="e">
        <f t="shared" si="2"/>
        <v>#VALUE!</v>
      </c>
      <c r="W53" s="46" t="e">
        <f t="shared" si="3"/>
        <v>#VALUE!</v>
      </c>
      <c r="X53" s="47" t="e">
        <f t="shared" si="4"/>
        <v>#VALUE!</v>
      </c>
      <c r="Y53" s="46" t="e">
        <f t="shared" si="5"/>
        <v>#VALUE!</v>
      </c>
      <c r="Z53" s="48" t="e">
        <f t="shared" si="6"/>
        <v>#VALUE!</v>
      </c>
      <c r="AA53" s="49" t="e">
        <f t="shared" si="7"/>
        <v>#VALUE!</v>
      </c>
      <c r="AB53" s="39"/>
      <c r="AC53" s="39"/>
      <c r="AD53" s="39"/>
      <c r="AE53" s="39"/>
      <c r="AF53" s="39"/>
      <c r="AG53" s="39"/>
    </row>
    <row r="54" spans="1:33" s="50" customFormat="1" ht="15.75" customHeight="1" x14ac:dyDescent="0.2">
      <c r="A54" s="51" t="s">
        <v>77</v>
      </c>
      <c r="B54" s="51"/>
      <c r="C54" s="52" t="str">
        <f>IFERROR(INDEX('[1]Balanza Egresos'!A$1:C$65536,MATCH(A54,'[1]Balanza Egresos'!A$1:A$65536,0),2),"SIN CUENTA")</f>
        <v>MAQUINARIA, OTROS EQUIPOS Y HERRAMIENTAS</v>
      </c>
      <c r="D54" s="53" t="e">
        <f>IF($P54="A",SUMIFS(D55:D$181,$A55:$A$181,LEFT($A54,$Q54)&amp;"*",$P55:$P$181,"R"),SUMIFS('[1]Balanza Egresos'!$F$1:$F$65536,'[1]Balanza Egresos'!$A$1:$A$65536,$A54))</f>
        <v>#VALUE!</v>
      </c>
      <c r="E54" s="53" t="e">
        <f>IF($P54="A",SUMIFS(E55:E$181,$A55:$A$181,LEFT($A54,$Q54)&amp;"*",$P55:$P$181,"R"),((H54/[1]Parametros!$E$12)*12)+$I54)</f>
        <v>#VALUE!</v>
      </c>
      <c r="F54" s="37">
        <f>IF($P54="A",SUMIFS(F55:F$181,$A55:$A$181,LEFT($A54,$Q54)&amp;"*",$P55:$P$181,"R"),K54+L54+M54+N54)</f>
        <v>5679500</v>
      </c>
      <c r="G54" s="62"/>
      <c r="H54" s="59" t="e">
        <f>IF($P54="A",SUMIFS(H55:H$181,$A55:$A$181,LEFT($A54,$Q54)&amp;"*",$P55:$P$181,"R"),SUMIFS('[1]Balanza Egresos'!$V$1:$V$65536,'[1]Balanza Egresos'!$A$1:$A$65536,$A54))</f>
        <v>#VALUE!</v>
      </c>
      <c r="I54" s="59"/>
      <c r="J54" s="39"/>
      <c r="K54" s="61">
        <f>IF($P54="A",SUMIFS(K55:K$181,$A55:$A$181,LEFT($A54,$Q54)&amp;"*",$P55:$P$181,"R"),0)</f>
        <v>59500</v>
      </c>
      <c r="L54" s="61">
        <f>IF($P54="A",SUMIFS(L55:L$181,$A55:$A$181,LEFT($A54,$Q54)&amp;"*",$P55:$P$181,"R"),0)</f>
        <v>0</v>
      </c>
      <c r="M54" s="61">
        <f>IF($P54="A",SUMIFS(M55:M$181,$A55:$A$181,LEFT($A54,$Q54)&amp;"*",$P55:$P$181,"R"),0)</f>
        <v>2500000</v>
      </c>
      <c r="N54" s="61">
        <f>IF($P54="A",SUMIFS(N55:N$181,$A55:$A$181,LEFT($A54,$Q54)&amp;"*",$P55:$P$181,"R"),0)</f>
        <v>3120000</v>
      </c>
      <c r="O54" s="61">
        <f>IF($P54="A",SUMIFS(O55:O$181,$A55:$A$181,LEFT($A54,$Q54)&amp;"*",$P55:$P$181,"R"),0)</f>
        <v>0</v>
      </c>
      <c r="P54" s="41" t="str">
        <f t="shared" si="8"/>
        <v>A</v>
      </c>
      <c r="Q54" s="41">
        <f t="shared" si="9"/>
        <v>2</v>
      </c>
      <c r="R54" s="55" t="e">
        <f t="shared" si="1"/>
        <v>#VALUE!</v>
      </c>
      <c r="S54" s="56">
        <v>1</v>
      </c>
      <c r="T54" s="57">
        <v>3</v>
      </c>
      <c r="U54" s="6"/>
      <c r="V54" s="45" t="e">
        <f t="shared" si="2"/>
        <v>#VALUE!</v>
      </c>
      <c r="W54" s="46" t="e">
        <f t="shared" si="3"/>
        <v>#VALUE!</v>
      </c>
      <c r="X54" s="47" t="e">
        <f t="shared" si="4"/>
        <v>#VALUE!</v>
      </c>
      <c r="Y54" s="46" t="e">
        <f t="shared" si="5"/>
        <v>#VALUE!</v>
      </c>
      <c r="Z54" s="48" t="e">
        <f t="shared" si="6"/>
        <v>#VALUE!</v>
      </c>
      <c r="AA54" s="49" t="e">
        <f t="shared" si="7"/>
        <v>#VALUE!</v>
      </c>
      <c r="AB54" s="39"/>
      <c r="AC54" s="39"/>
      <c r="AD54" s="39"/>
      <c r="AE54" s="39"/>
      <c r="AF54" s="39"/>
      <c r="AG54" s="39"/>
    </row>
    <row r="55" spans="1:33" s="50" customFormat="1" ht="15.75" hidden="1" customHeight="1" x14ac:dyDescent="0.2">
      <c r="A55" s="51" t="s">
        <v>78</v>
      </c>
      <c r="B55" s="51"/>
      <c r="C55" s="52" t="str">
        <f>IFERROR(INDEX('[1]Balanza Egresos'!A$1:C$65536,MATCH(A55,'[1]Balanza Egresos'!A$1:A$65536,0),2),"SIN CUENTA")</f>
        <v>SIN CUENTA</v>
      </c>
      <c r="D55" s="53" t="e">
        <f>IF($P55="A",SUMIFS(D56:D$181,$A56:$A$181,LEFT($A55,$Q55)&amp;"*",$P56:$P$181,"R"),SUMIFS('[1]Balanza Egresos'!$F$1:$F$65536,'[1]Balanza Egresos'!$A$1:$A$65536,$A55))</f>
        <v>#VALUE!</v>
      </c>
      <c r="E55" s="53" t="e">
        <f>IF($P55="A",SUMIFS(E56:E$181,$A56:$A$181,LEFT($A55,$Q55)&amp;"*",$P56:$P$181,"R"),((H55/[1]Parametros!$E$12)*12)+$I55)</f>
        <v>#VALUE!</v>
      </c>
      <c r="F55" s="37">
        <f>IF($P55="A",SUMIFS(F56:F$181,$A56:$A$181,LEFT($A55,$Q55)&amp;"*",$P56:$P$181,"R"),K55+L55+M55+N55)</f>
        <v>0</v>
      </c>
      <c r="G55" s="62"/>
      <c r="H55" s="59" t="e">
        <f>IF($P55="A",SUMIFS(H56:H$181,$A56:$A$181,LEFT($A55,$Q55)&amp;"*",$P56:$P$181,"R"),SUMIFS('[1]Balanza Egresos'!$V$1:$V$65536,'[1]Balanza Egresos'!$A$1:$A$65536,$A55))</f>
        <v>#VALUE!</v>
      </c>
      <c r="I55" s="59"/>
      <c r="J55" s="39"/>
      <c r="K55" s="61">
        <f>IF($P55="A",SUMIFS(K56:K$181,$A56:$A$181,LEFT($A55,$Q55)&amp;"*",$P56:$P$181,"R"),0)</f>
        <v>0</v>
      </c>
      <c r="L55" s="61">
        <f>IF($P55="A",SUMIFS(L56:L$181,$A56:$A$181,LEFT($A55,$Q55)&amp;"*",$P56:$P$181,"R"),0)</f>
        <v>0</v>
      </c>
      <c r="M55" s="61">
        <f>IF($P55="A",SUMIFS(M56:M$181,$A56:$A$181,LEFT($A55,$Q55)&amp;"*",$P56:$P$181,"R"),0)</f>
        <v>0</v>
      </c>
      <c r="N55" s="61">
        <f>IF($P55="A",SUMIFS(N56:N$181,$A56:$A$181,LEFT($A55,$Q55)&amp;"*",$P56:$P$181,"R"),0)</f>
        <v>0</v>
      </c>
      <c r="O55" s="61">
        <f>IF($P55="A",SUMIFS(O56:O$181,$A56:$A$181,LEFT($A55,$Q55)&amp;"*",$P56:$P$181,"R"),0)</f>
        <v>0</v>
      </c>
      <c r="P55" s="41" t="str">
        <f t="shared" si="8"/>
        <v>A</v>
      </c>
      <c r="Q55" s="41">
        <f t="shared" si="9"/>
        <v>3</v>
      </c>
      <c r="R55" s="55" t="e">
        <f t="shared" si="1"/>
        <v>#VALUE!</v>
      </c>
      <c r="S55" s="56">
        <v>1</v>
      </c>
      <c r="T55" s="57">
        <v>3</v>
      </c>
      <c r="U55" s="6"/>
      <c r="V55" s="45" t="e">
        <f t="shared" si="2"/>
        <v>#VALUE!</v>
      </c>
      <c r="W55" s="46" t="e">
        <f t="shared" si="3"/>
        <v>#VALUE!</v>
      </c>
      <c r="X55" s="47" t="e">
        <f t="shared" si="4"/>
        <v>#VALUE!</v>
      </c>
      <c r="Y55" s="46" t="e">
        <f t="shared" si="5"/>
        <v>#VALUE!</v>
      </c>
      <c r="Z55" s="48" t="e">
        <f t="shared" si="6"/>
        <v>#VALUE!</v>
      </c>
      <c r="AA55" s="49" t="e">
        <f t="shared" si="7"/>
        <v>#VALUE!</v>
      </c>
      <c r="AB55" s="39"/>
      <c r="AC55" s="39"/>
      <c r="AD55" s="39"/>
      <c r="AE55" s="39"/>
      <c r="AF55" s="39"/>
      <c r="AG55" s="39"/>
    </row>
    <row r="56" spans="1:33" s="50" customFormat="1" ht="15.75" hidden="1" customHeight="1" x14ac:dyDescent="0.2">
      <c r="A56" s="51" t="s">
        <v>79</v>
      </c>
      <c r="B56" s="51"/>
      <c r="C56" s="52" t="str">
        <f>IFERROR(INDEX('[1]Balanza Egresos'!A$1:C$65536,MATCH(A56,'[1]Balanza Egresos'!A$1:A$65536,0),2),"SIN CUENTA")</f>
        <v>SIN CUENTA</v>
      </c>
      <c r="D56" s="53" t="e">
        <f>IF($P56="A",SUMIFS(D57:D$181,$A57:$A$181,LEFT($A56,$Q56)&amp;"*",$P57:$P$181,"R"),SUMIFS('[1]Balanza Egresos'!$F$1:$F$65536,'[1]Balanza Egresos'!$A$1:$A$65536,$A56))</f>
        <v>#VALUE!</v>
      </c>
      <c r="E56" s="53" t="e">
        <f>IF($P56="A",SUMIFS(E57:E$181,$A57:$A$181,LEFT($A56,$Q56)&amp;"*",$P57:$P$181,"R"),((H56/[1]Parametros!$E$12)*12)+$I56)</f>
        <v>#VALUE!</v>
      </c>
      <c r="F56" s="37">
        <f>IF($P56="A",SUMIFS(F57:F$181,$A57:$A$181,LEFT($A56,$Q56)&amp;"*",$P57:$P$181,"R"),K56+L56+M56+N56+O56)</f>
        <v>0</v>
      </c>
      <c r="G56" s="62"/>
      <c r="H56" s="59" t="e">
        <f>IF($P56="A",SUMIFS(H57:H$181,$A57:$A$181,LEFT($A56,$Q56)&amp;"*",$P57:$P$181,"R"),SUMIFS('[1]Balanza Egresos'!$V$1:$V$65536,'[1]Balanza Egresos'!$A$1:$A$65536,$A56))</f>
        <v>#VALUE!</v>
      </c>
      <c r="I56" s="59"/>
      <c r="J56" s="39"/>
      <c r="K56" s="61">
        <f>IF($P56="A",SUMIFS(K57:K$181,$A57:$A$181,LEFT($A56,$Q56)&amp;"*",$P57:$P$181,"R"),0)</f>
        <v>0</v>
      </c>
      <c r="L56" s="61">
        <f>IF($P56="A",SUMIFS(L57:L$181,$A57:$A$181,LEFT($A56,$Q56)&amp;"*",$P57:$P$181,"R"),0)</f>
        <v>0</v>
      </c>
      <c r="M56" s="61">
        <f>IF($P56="A",SUMIFS(M57:M$181,$A57:$A$181,LEFT($A56,$Q56)&amp;"*",$P57:$P$181,"R"),0)</f>
        <v>0</v>
      </c>
      <c r="N56" s="61">
        <f>IF($P56="A",SUMIFS(N57:N$181,$A57:$A$181,LEFT($A56,$Q56)&amp;"*",$P57:$P$181,"R"),0)</f>
        <v>0</v>
      </c>
      <c r="O56" s="61">
        <f>IF($P56="A",SUMIFS(O57:O$181,$A57:$A$181,LEFT($A56,$Q56)&amp;"*",$P57:$P$181,"R"),0)</f>
        <v>0</v>
      </c>
      <c r="P56" s="41" t="str">
        <f t="shared" si="8"/>
        <v>R</v>
      </c>
      <c r="Q56" s="41">
        <f t="shared" si="9"/>
        <v>4</v>
      </c>
      <c r="R56" s="55" t="e">
        <f t="shared" si="1"/>
        <v>#VALUE!</v>
      </c>
      <c r="S56" s="56">
        <v>1</v>
      </c>
      <c r="T56" s="57">
        <v>3</v>
      </c>
      <c r="U56" s="6"/>
      <c r="V56" s="45" t="e">
        <f t="shared" si="2"/>
        <v>#VALUE!</v>
      </c>
      <c r="W56" s="46" t="e">
        <f t="shared" si="3"/>
        <v>#VALUE!</v>
      </c>
      <c r="X56" s="47" t="e">
        <f t="shared" si="4"/>
        <v>#VALUE!</v>
      </c>
      <c r="Y56" s="46" t="e">
        <f t="shared" si="5"/>
        <v>#VALUE!</v>
      </c>
      <c r="Z56" s="48" t="e">
        <f t="shared" si="6"/>
        <v>#VALUE!</v>
      </c>
      <c r="AA56" s="49" t="e">
        <f t="shared" si="7"/>
        <v>#VALUE!</v>
      </c>
      <c r="AB56" s="39"/>
      <c r="AC56" s="39"/>
      <c r="AD56" s="39"/>
      <c r="AE56" s="39"/>
      <c r="AF56" s="39"/>
      <c r="AG56" s="39"/>
    </row>
    <row r="57" spans="1:33" s="50" customFormat="1" ht="15.75" customHeight="1" x14ac:dyDescent="0.2">
      <c r="A57" s="51" t="s">
        <v>80</v>
      </c>
      <c r="B57" s="51"/>
      <c r="C57" s="52" t="str">
        <f>IFERROR(INDEX('[1]Balanza Egresos'!A$1:C$65536,MATCH(A57,'[1]Balanza Egresos'!A$1:A$65536,0),2),"SIN CUENTA")</f>
        <v>SIN CUENTA</v>
      </c>
      <c r="D57" s="53" t="e">
        <f>IF($P57="A",SUMIFS(D58:D$181,$A58:$A$181,LEFT($A57,$Q57)&amp;"*",$P58:$P$181,"R"),SUMIFS('[1]Balanza Egresos'!$F$1:$F$65536,'[1]Balanza Egresos'!$A$1:$A$65536,$A57))</f>
        <v>#VALUE!</v>
      </c>
      <c r="E57" s="53" t="e">
        <f>IF($P57="A",SUMIFS(E58:E$181,$A58:$A$181,LEFT($A57,$Q57)&amp;"*",$P58:$P$181,"R"),((H57/[1]Parametros!$E$12)*12)+$I57)</f>
        <v>#VALUE!</v>
      </c>
      <c r="F57" s="37">
        <f>IF($P57="A",SUMIFS(F58:F$181,$A58:$A$181,LEFT($A57,$Q57)&amp;"*",$P58:$P$181,"R"),K57+L57+M57+N57)</f>
        <v>1500000</v>
      </c>
      <c r="G57" s="62"/>
      <c r="H57" s="59" t="e">
        <f>IF($P57="A",SUMIFS(H58:H$181,$A58:$A$181,LEFT($A57,$Q57)&amp;"*",$P58:$P$181,"R"),SUMIFS('[1]Balanza Egresos'!$V$1:$V$65536,'[1]Balanza Egresos'!$A$1:$A$65536,$A57))</f>
        <v>#VALUE!</v>
      </c>
      <c r="I57" s="59"/>
      <c r="J57" s="39"/>
      <c r="K57" s="61">
        <f>IF($P57="A",SUMIFS(K58:K$181,$A58:$A$181,LEFT($A57,$Q57)&amp;"*",$P58:$P$181,"R"),0)</f>
        <v>0</v>
      </c>
      <c r="L57" s="61">
        <f>IF($P57="A",SUMIFS(L58:L$181,$A58:$A$181,LEFT($A57,$Q57)&amp;"*",$P58:$P$181,"R"),0)</f>
        <v>0</v>
      </c>
      <c r="M57" s="61">
        <f>IF($P57="A",SUMIFS(M58:M$181,$A58:$A$181,LEFT($A57,$Q57)&amp;"*",$P58:$P$181,"R"),0)</f>
        <v>1500000</v>
      </c>
      <c r="N57" s="61">
        <f>IF($P57="A",SUMIFS(N58:N$181,$A58:$A$181,LEFT($A57,$Q57)&amp;"*",$P58:$P$181,"R"),0)</f>
        <v>0</v>
      </c>
      <c r="O57" s="61">
        <f>IF($P57="A",SUMIFS(O58:O$181,$A58:$A$181,LEFT($A57,$Q57)&amp;"*",$P58:$P$181,"R"),0)</f>
        <v>0</v>
      </c>
      <c r="P57" s="41" t="str">
        <f t="shared" si="8"/>
        <v>A</v>
      </c>
      <c r="Q57" s="41">
        <f t="shared" si="9"/>
        <v>3</v>
      </c>
      <c r="R57" s="55" t="e">
        <f t="shared" si="1"/>
        <v>#VALUE!</v>
      </c>
      <c r="S57" s="56">
        <v>1</v>
      </c>
      <c r="T57" s="57">
        <v>3</v>
      </c>
      <c r="U57" s="6"/>
      <c r="V57" s="45" t="e">
        <f t="shared" si="2"/>
        <v>#VALUE!</v>
      </c>
      <c r="W57" s="46" t="e">
        <f t="shared" si="3"/>
        <v>#VALUE!</v>
      </c>
      <c r="X57" s="47" t="e">
        <f t="shared" si="4"/>
        <v>#VALUE!</v>
      </c>
      <c r="Y57" s="46" t="e">
        <f t="shared" si="5"/>
        <v>#VALUE!</v>
      </c>
      <c r="Z57" s="48" t="e">
        <f t="shared" si="6"/>
        <v>#VALUE!</v>
      </c>
      <c r="AA57" s="49" t="e">
        <f t="shared" si="7"/>
        <v>#VALUE!</v>
      </c>
      <c r="AB57" s="39"/>
      <c r="AC57" s="39"/>
      <c r="AD57" s="39"/>
      <c r="AE57" s="39"/>
      <c r="AF57" s="39"/>
      <c r="AG57" s="39"/>
    </row>
    <row r="58" spans="1:33" s="50" customFormat="1" ht="24.75" customHeight="1" x14ac:dyDescent="0.2">
      <c r="A58" s="51" t="s">
        <v>81</v>
      </c>
      <c r="B58" s="51"/>
      <c r="C58" s="52" t="s">
        <v>82</v>
      </c>
      <c r="D58" s="53" t="e">
        <f>IF($P58="A",SUMIFS(D59:D$181,$A59:$A$181,LEFT($A58,$Q58)&amp;"*",$P59:$P$181,"R"),SUMIFS('[1]Balanza Egresos'!$F$1:$F$65536,'[1]Balanza Egresos'!$A$1:$A$65536,$A58))</f>
        <v>#VALUE!</v>
      </c>
      <c r="E58" s="53" t="e">
        <f>IF($P58="A",SUMIFS(E59:E$181,$A59:$A$181,LEFT($A58,$Q58)&amp;"*",$P59:$P$181,"R"),((H58/[1]Parametros!$E$12)*12)+$I58)</f>
        <v>#VALUE!</v>
      </c>
      <c r="F58" s="37">
        <f>IF($P58="A",SUMIFS(F59:F$181,$A59:$A$181,LEFT($A58,$Q58)&amp;"*",$P59:$P$181,"R"),K58+L58+M58+N58+O58)</f>
        <v>1500000</v>
      </c>
      <c r="G58" s="62"/>
      <c r="H58" s="59" t="e">
        <f>IF($P58="A",SUMIFS(H59:H$181,$A59:$A$181,LEFT($A58,$Q58)&amp;"*",$P59:$P$181,"R"),SUMIFS('[1]Balanza Egresos'!$V$1:$V$65536,'[1]Balanza Egresos'!$A$1:$A$65536,$A58))</f>
        <v>#VALUE!</v>
      </c>
      <c r="I58" s="59"/>
      <c r="J58" s="39"/>
      <c r="K58" s="61">
        <f>IF($P58="A",SUMIFS(K59:K$181,$A59:$A$181,LEFT($A58,$Q58)&amp;"*",$P59:$P$181,"R"),0)</f>
        <v>0</v>
      </c>
      <c r="L58" s="61">
        <f>IF($P58="A",SUMIFS(L59:L$181,$A59:$A$181,LEFT($A58,$Q58)&amp;"*",$P59:$P$181,"R"),0)</f>
        <v>0</v>
      </c>
      <c r="M58" s="61">
        <v>1500000</v>
      </c>
      <c r="N58" s="61">
        <f>IF($P58="A",SUMIFS(N59:N$181,$A59:$A$181,LEFT($A58,$Q58)&amp;"*",$P59:$P$181,"R"),0)</f>
        <v>0</v>
      </c>
      <c r="O58" s="61">
        <f>IF($P58="A",SUMIFS(O59:O$181,$A59:$A$181,LEFT($A58,$Q58)&amp;"*",$P59:$P$181,"R"),0)</f>
        <v>0</v>
      </c>
      <c r="P58" s="41" t="str">
        <f t="shared" si="8"/>
        <v>R</v>
      </c>
      <c r="Q58" s="41">
        <f t="shared" si="9"/>
        <v>4</v>
      </c>
      <c r="R58" s="55" t="e">
        <f t="shared" si="1"/>
        <v>#VALUE!</v>
      </c>
      <c r="S58" s="56">
        <v>1</v>
      </c>
      <c r="T58" s="57">
        <v>3</v>
      </c>
      <c r="U58" s="6"/>
      <c r="V58" s="45" t="e">
        <f t="shared" si="2"/>
        <v>#VALUE!</v>
      </c>
      <c r="W58" s="46" t="e">
        <f t="shared" si="3"/>
        <v>#VALUE!</v>
      </c>
      <c r="X58" s="47" t="e">
        <f t="shared" si="4"/>
        <v>#VALUE!</v>
      </c>
      <c r="Y58" s="46" t="e">
        <f t="shared" si="5"/>
        <v>#VALUE!</v>
      </c>
      <c r="Z58" s="48" t="e">
        <f t="shared" si="6"/>
        <v>#VALUE!</v>
      </c>
      <c r="AA58" s="49" t="e">
        <f t="shared" si="7"/>
        <v>#VALUE!</v>
      </c>
      <c r="AB58" s="39"/>
      <c r="AC58" s="39"/>
      <c r="AD58" s="39"/>
      <c r="AE58" s="39"/>
      <c r="AF58" s="39"/>
      <c r="AG58" s="39"/>
    </row>
    <row r="59" spans="1:33" s="50" customFormat="1" ht="15.75" hidden="1" customHeight="1" x14ac:dyDescent="0.2">
      <c r="A59" s="51" t="s">
        <v>83</v>
      </c>
      <c r="B59" s="51"/>
      <c r="C59" s="52" t="str">
        <f>IFERROR(INDEX('[1]Balanza Egresos'!A$1:C$65536,MATCH(A59,'[1]Balanza Egresos'!A$1:A$65536,0),2),"SIN CUENTA")</f>
        <v>SIN CUENTA</v>
      </c>
      <c r="D59" s="53" t="e">
        <f>IF($P59="A",SUMIFS(D60:D$181,$A60:$A$181,LEFT($A59,$Q59)&amp;"*",$P60:$P$181,"R"),SUMIFS('[1]Balanza Egresos'!$F$1:$F$65536,'[1]Balanza Egresos'!$A$1:$A$65536,$A59))</f>
        <v>#VALUE!</v>
      </c>
      <c r="E59" s="53" t="e">
        <f>IF($P59="A",SUMIFS(E60:E$181,$A60:$A$181,LEFT($A59,$Q59)&amp;"*",$P60:$P$181,"R"),((H59/[1]Parametros!$E$12)*12)+$I59)</f>
        <v>#VALUE!</v>
      </c>
      <c r="F59" s="37">
        <f>IF($P59="A",SUMIFS(F60:F$181,$A60:$A$181,LEFT($A59,$Q59)&amp;"*",$P60:$P$181,"R"),K59+L59+M59+N59+O59)</f>
        <v>0</v>
      </c>
      <c r="G59" s="62"/>
      <c r="H59" s="59" t="e">
        <f>IF($P59="A",SUMIFS(H60:H$181,$A60:$A$181,LEFT($A59,$Q59)&amp;"*",$P60:$P$181,"R"),SUMIFS('[1]Balanza Egresos'!$V$1:$V$65536,'[1]Balanza Egresos'!$A$1:$A$65536,$A59))</f>
        <v>#VALUE!</v>
      </c>
      <c r="I59" s="59"/>
      <c r="J59" s="39"/>
      <c r="K59" s="61">
        <f>IF($P59="A",SUMIFS(K60:K$181,$A60:$A$181,LEFT($A59,$Q59)&amp;"*",$P60:$P$181,"R"),0)</f>
        <v>0</v>
      </c>
      <c r="L59" s="61">
        <f>IF($P59="A",SUMIFS(L60:L$181,$A60:$A$181,LEFT($A59,$Q59)&amp;"*",$P60:$P$181,"R"),0)</f>
        <v>0</v>
      </c>
      <c r="M59" s="61">
        <f>IF($P59="A",SUMIFS(M60:M$181,$A60:$A$181,LEFT($A59,$Q59)&amp;"*",$P60:$P$181,"R"),0)</f>
        <v>0</v>
      </c>
      <c r="N59" s="61">
        <f>IF($P59="A",SUMIFS(N60:N$181,$A60:$A$181,LEFT($A59,$Q59)&amp;"*",$P60:$P$181,"R"),0)</f>
        <v>0</v>
      </c>
      <c r="O59" s="61">
        <f>IF($P59="A",SUMIFS(O60:O$181,$A60:$A$181,LEFT($A59,$Q59)&amp;"*",$P60:$P$181,"R"),0)</f>
        <v>0</v>
      </c>
      <c r="P59" s="41" t="str">
        <f>IF(RIGHT(A59,2)="00","A","R")</f>
        <v>R</v>
      </c>
      <c r="Q59" s="41">
        <f>IF(RIGHT(A59,4)="0000",1,IF(RIGHT(A59,3)="000",2,IF(RIGHT(A59,2)="00",3,4)))</f>
        <v>4</v>
      </c>
      <c r="R59" s="55" t="e">
        <f>IF(ABS(D59+E59+F59+H59)&gt;0,"SI","NO")</f>
        <v>#VALUE!</v>
      </c>
      <c r="S59" s="56">
        <v>1</v>
      </c>
      <c r="T59" s="57">
        <v>3</v>
      </c>
      <c r="U59" s="6"/>
      <c r="V59" s="45" t="e">
        <f>D59-E59</f>
        <v>#VALUE!</v>
      </c>
      <c r="W59" s="46" t="e">
        <f>IF(D59=0,0,V59/D59)</f>
        <v>#VALUE!</v>
      </c>
      <c r="X59" s="47" t="e">
        <f>F59-D59</f>
        <v>#VALUE!</v>
      </c>
      <c r="Y59" s="46" t="e">
        <f>IF(D59=0,0,X59/D59)</f>
        <v>#VALUE!</v>
      </c>
      <c r="Z59" s="48" t="e">
        <f>+F59-E59</f>
        <v>#VALUE!</v>
      </c>
      <c r="AA59" s="49" t="e">
        <f>IF(E59=0,0,Z59/E59)</f>
        <v>#VALUE!</v>
      </c>
      <c r="AB59" s="39"/>
      <c r="AC59" s="39"/>
      <c r="AD59" s="39"/>
      <c r="AE59" s="39"/>
      <c r="AF59" s="39"/>
      <c r="AG59" s="39"/>
    </row>
    <row r="60" spans="1:33" s="50" customFormat="1" ht="15.75" hidden="1" customHeight="1" x14ac:dyDescent="0.2">
      <c r="A60" s="51" t="s">
        <v>84</v>
      </c>
      <c r="B60" s="51"/>
      <c r="C60" s="52" t="str">
        <f>IFERROR(INDEX('[1]Balanza Egresos'!A$1:C$65536,MATCH(A60,'[1]Balanza Egresos'!A$1:A$65536,0),2),"SIN CUENTA")</f>
        <v>SIN CUENTA</v>
      </c>
      <c r="D60" s="53" t="e">
        <f>IF($P60="A",SUMIFS(D61:D$181,$A61:$A$181,LEFT($A60,$Q60)&amp;"*",$P61:$P$181,"R"),SUMIFS('[1]Balanza Egresos'!$F$1:$F$65536,'[1]Balanza Egresos'!$A$1:$A$65536,$A60))</f>
        <v>#VALUE!</v>
      </c>
      <c r="E60" s="53" t="e">
        <f>IF($P60="A",SUMIFS(E61:E$181,$A61:$A$181,LEFT($A60,$Q60)&amp;"*",$P61:$P$181,"R"),((H60/[1]Parametros!$E$12)*12)+$I60)</f>
        <v>#VALUE!</v>
      </c>
      <c r="F60" s="37">
        <f>IF($P60="A",SUMIFS(F61:F$181,$A61:$A$181,LEFT($A60,$Q60)&amp;"*",$P61:$P$181,"R"),K60+L60+M60+N60+O60)</f>
        <v>0</v>
      </c>
      <c r="G60" s="62"/>
      <c r="H60" s="59" t="e">
        <f>IF($P60="A",SUMIFS(H61:H$181,$A61:$A$181,LEFT($A60,$Q60)&amp;"*",$P61:$P$181,"R"),SUMIFS('[1]Balanza Egresos'!$V$1:$V$65536,'[1]Balanza Egresos'!$A$1:$A$65536,$A60))</f>
        <v>#VALUE!</v>
      </c>
      <c r="I60" s="59"/>
      <c r="J60" s="39"/>
      <c r="K60" s="61">
        <f>IF($P60="A",SUMIFS(K61:K$181,$A61:$A$181,LEFT($A60,$Q60)&amp;"*",$P61:$P$181,"R"),0)</f>
        <v>0</v>
      </c>
      <c r="L60" s="61">
        <f>IF($P60="A",SUMIFS(L61:L$181,$A61:$A$181,LEFT($A60,$Q60)&amp;"*",$P61:$P$181,"R"),0)</f>
        <v>0</v>
      </c>
      <c r="M60" s="61">
        <f>IF($P60="A",SUMIFS(M61:M$181,$A61:$A$181,LEFT($A60,$Q60)&amp;"*",$P61:$P$181,"R"),0)</f>
        <v>0</v>
      </c>
      <c r="N60" s="61">
        <f>IF($P60="A",SUMIFS(N61:N$181,$A61:$A$181,LEFT($A60,$Q60)&amp;"*",$P61:$P$181,"R"),0)</f>
        <v>0</v>
      </c>
      <c r="O60" s="61">
        <f>IF($P60="A",SUMIFS(O61:O$181,$A61:$A$181,LEFT($A60,$Q60)&amp;"*",$P61:$P$181,"R"),0)</f>
        <v>0</v>
      </c>
      <c r="P60" s="41" t="str">
        <f>IF(RIGHT(A60,2)="00","A","R")</f>
        <v>R</v>
      </c>
      <c r="Q60" s="41">
        <f>IF(RIGHT(A60,4)="0000",1,IF(RIGHT(A60,3)="000",2,IF(RIGHT(A60,2)="00",3,4)))</f>
        <v>4</v>
      </c>
      <c r="R60" s="55" t="e">
        <f>IF(ABS(D60+E60+F60+H60)&gt;0,"SI","NO")</f>
        <v>#VALUE!</v>
      </c>
      <c r="S60" s="56">
        <v>1</v>
      </c>
      <c r="T60" s="57">
        <v>3</v>
      </c>
      <c r="U60" s="6"/>
      <c r="V60" s="45" t="e">
        <f>D60-E60</f>
        <v>#VALUE!</v>
      </c>
      <c r="W60" s="46" t="e">
        <f>IF(D60=0,0,V60/D60)</f>
        <v>#VALUE!</v>
      </c>
      <c r="X60" s="47" t="e">
        <f>F60-D60</f>
        <v>#VALUE!</v>
      </c>
      <c r="Y60" s="46" t="e">
        <f>IF(D60=0,0,X60/D60)</f>
        <v>#VALUE!</v>
      </c>
      <c r="Z60" s="48" t="e">
        <f>+F60-E60</f>
        <v>#VALUE!</v>
      </c>
      <c r="AA60" s="49" t="e">
        <f>IF(E60=0,0,Z60/E60)</f>
        <v>#VALUE!</v>
      </c>
      <c r="AB60" s="39"/>
      <c r="AC60" s="39"/>
      <c r="AD60" s="39"/>
      <c r="AE60" s="39"/>
      <c r="AF60" s="39"/>
      <c r="AG60" s="39"/>
    </row>
    <row r="61" spans="1:33" s="50" customFormat="1" ht="15.75" customHeight="1" x14ac:dyDescent="0.2">
      <c r="A61" s="51" t="s">
        <v>85</v>
      </c>
      <c r="B61" s="51"/>
      <c r="C61" s="52" t="str">
        <f>IFERROR(INDEX('[1]Balanza Egresos'!A$1:C$65536,MATCH(A61,'[1]Balanza Egresos'!A$1:A$65536,0),2),"SIN CUENTA")</f>
        <v>SIN CUENTA</v>
      </c>
      <c r="D61" s="53" t="e">
        <f>IF($P61="A",SUMIFS(D62:D$181,$A62:$A$181,LEFT($A61,$Q61)&amp;"*",$P62:$P$181,"R"),SUMIFS('[1]Balanza Egresos'!$F$1:$F$65536,'[1]Balanza Egresos'!$A$1:$A$65536,$A61))</f>
        <v>#VALUE!</v>
      </c>
      <c r="E61" s="53" t="e">
        <f>IF($P61="A",SUMIFS(E62:E$181,$A62:$A$181,LEFT($A61,$Q61)&amp;"*",$P62:$P$181,"R"),((H61/[1]Parametros!$E$12)*12)+$I61)</f>
        <v>#VALUE!</v>
      </c>
      <c r="F61" s="37">
        <f>IF($P61="A",SUMIFS(F62:F$181,$A62:$A$181,LEFT($A61,$Q61)&amp;"*",$P62:$P$181,"R"),K61+L61+M61+N61)</f>
        <v>0</v>
      </c>
      <c r="G61" s="62"/>
      <c r="H61" s="59" t="e">
        <f>IF($P61="A",SUMIFS(H62:H$181,$A62:$A$181,LEFT($A61,$Q61)&amp;"*",$P62:$P$181,"R"),SUMIFS('[1]Balanza Egresos'!$V$1:$V$65536,'[1]Balanza Egresos'!$A$1:$A$65536,$A61))</f>
        <v>#VALUE!</v>
      </c>
      <c r="I61" s="59"/>
      <c r="J61" s="39"/>
      <c r="K61" s="61">
        <f>IF($P61="A",SUMIFS(K62:K$181,$A62:$A$181,LEFT($A61,$Q61)&amp;"*",$P62:$P$181,"R"),0)</f>
        <v>0</v>
      </c>
      <c r="L61" s="61">
        <f>IF($P61="A",SUMIFS(L62:L$181,$A62:$A$181,LEFT($A61,$Q61)&amp;"*",$P62:$P$181,"R"),0)</f>
        <v>0</v>
      </c>
      <c r="M61" s="61">
        <f>IF($P61="A",SUMIFS(M62:M$181,$A62:$A$181,LEFT($A61,$Q61)&amp;"*",$P62:$P$181,"R"),0)</f>
        <v>0</v>
      </c>
      <c r="N61" s="61">
        <f>IF($P61="A",SUMIFS(N62:N$181,$A62:$A$181,LEFT($A61,$Q61)&amp;"*",$P62:$P$181,"R"),0)</f>
        <v>0</v>
      </c>
      <c r="O61" s="61">
        <f>IF($P61="A",SUMIFS(O62:O$181,$A62:$A$181,LEFT($A61,$Q61)&amp;"*",$P62:$P$181,"R"),0)</f>
        <v>0</v>
      </c>
      <c r="P61" s="41" t="str">
        <f t="shared" si="8"/>
        <v>A</v>
      </c>
      <c r="Q61" s="41">
        <f t="shared" si="9"/>
        <v>3</v>
      </c>
      <c r="R61" s="55" t="e">
        <f t="shared" si="1"/>
        <v>#VALUE!</v>
      </c>
      <c r="S61" s="56">
        <v>1</v>
      </c>
      <c r="T61" s="57">
        <v>3</v>
      </c>
      <c r="U61" s="6"/>
      <c r="V61" s="45" t="e">
        <f t="shared" si="2"/>
        <v>#VALUE!</v>
      </c>
      <c r="W61" s="46" t="e">
        <f t="shared" si="3"/>
        <v>#VALUE!</v>
      </c>
      <c r="X61" s="47" t="e">
        <f t="shared" si="4"/>
        <v>#VALUE!</v>
      </c>
      <c r="Y61" s="46" t="e">
        <f t="shared" si="5"/>
        <v>#VALUE!</v>
      </c>
      <c r="Z61" s="48" t="e">
        <f t="shared" si="6"/>
        <v>#VALUE!</v>
      </c>
      <c r="AA61" s="49" t="e">
        <f t="shared" si="7"/>
        <v>#VALUE!</v>
      </c>
      <c r="AB61" s="39"/>
      <c r="AC61" s="39"/>
      <c r="AD61" s="39"/>
      <c r="AE61" s="39"/>
      <c r="AF61" s="39"/>
      <c r="AG61" s="39"/>
    </row>
    <row r="62" spans="1:33" s="50" customFormat="1" ht="15.75" customHeight="1" x14ac:dyDescent="0.2">
      <c r="A62" s="51" t="s">
        <v>86</v>
      </c>
      <c r="B62" s="51"/>
      <c r="C62" s="52" t="str">
        <f>IFERROR(INDEX('[1]Balanza Egresos'!A$1:C$65536,MATCH(A62,'[1]Balanza Egresos'!A$1:A$65536,0),2),"SIN CUENTA")</f>
        <v>SIN CUENTA</v>
      </c>
      <c r="D62" s="53" t="e">
        <f>IF($P62="A",SUMIFS(D63:D$181,$A63:$A$181,LEFT($A62,$Q62)&amp;"*",$P63:$P$181,"R"),SUMIFS('[1]Balanza Egresos'!$F$1:$F$65536,'[1]Balanza Egresos'!$A$1:$A$65536,$A62))</f>
        <v>#VALUE!</v>
      </c>
      <c r="E62" s="53" t="e">
        <f>IF($P62="A",SUMIFS(E63:E$181,$A63:$A$181,LEFT($A62,$Q62)&amp;"*",$P63:$P$181,"R"),((H62/[1]Parametros!$E$12)*12)+$I62)</f>
        <v>#VALUE!</v>
      </c>
      <c r="F62" s="37">
        <f>IF($P62="A",SUMIFS(F63:F$181,$A63:$A$181,LEFT($A62,$Q62)&amp;"*",$P63:$P$181,"R"),K62+L62+M62+N62+O62)</f>
        <v>0</v>
      </c>
      <c r="G62" s="62"/>
      <c r="H62" s="53" t="e">
        <f>IF($P62="A",SUMIFS(H63:H$181,$A63:$A$181,LEFT($A62,$Q62)&amp;"*",$P63:$P$181,"R"),SUMIFS('[1]Balanza Egresos'!$V$1:$V$65536,'[1]Balanza Egresos'!$A$1:$A$65536,$A62))</f>
        <v>#VALUE!</v>
      </c>
      <c r="I62" s="53">
        <v>0</v>
      </c>
      <c r="J62" s="39"/>
      <c r="K62" s="61">
        <f>IF($P62="A",SUMIFS(K63:K$181,$A63:$A$181,LEFT($A62,$Q62)&amp;"*",$P63:$P$181,"R"),0)</f>
        <v>0</v>
      </c>
      <c r="L62" s="61">
        <f>IF($P62="A",SUMIFS(L63:L$181,$A63:$A$181,LEFT($A62,$Q62)&amp;"*",$P63:$P$181,"R"),0)</f>
        <v>0</v>
      </c>
      <c r="M62" s="61">
        <f>IF($P62="A",SUMIFS(M63:M$181,$A63:$A$181,LEFT($A62,$Q62)&amp;"*",$P63:$P$181,"R"),0)</f>
        <v>0</v>
      </c>
      <c r="N62" s="61">
        <f>IF($P62="A",SUMIFS(N63:N$181,$A63:$A$181,LEFT($A62,$Q62)&amp;"*",$P63:$P$181,"R"),0)</f>
        <v>0</v>
      </c>
      <c r="O62" s="61">
        <f>IF($P62="A",SUMIFS(O63:O$181,$A63:$A$181,LEFT($A62,$Q62)&amp;"*",$P63:$P$181,"R"),0)</f>
        <v>0</v>
      </c>
      <c r="P62" s="41" t="str">
        <f t="shared" si="8"/>
        <v>R</v>
      </c>
      <c r="Q62" s="41">
        <f t="shared" si="9"/>
        <v>4</v>
      </c>
      <c r="R62" s="55" t="e">
        <f t="shared" si="1"/>
        <v>#VALUE!</v>
      </c>
      <c r="S62" s="56">
        <v>1</v>
      </c>
      <c r="T62" s="57" t="s">
        <v>23</v>
      </c>
      <c r="U62" s="6"/>
      <c r="V62" s="45" t="e">
        <f t="shared" si="2"/>
        <v>#VALUE!</v>
      </c>
      <c r="W62" s="46" t="e">
        <f t="shared" si="3"/>
        <v>#VALUE!</v>
      </c>
      <c r="X62" s="47" t="e">
        <f t="shared" si="4"/>
        <v>#VALUE!</v>
      </c>
      <c r="Y62" s="46" t="e">
        <f t="shared" si="5"/>
        <v>#VALUE!</v>
      </c>
      <c r="Z62" s="48" t="e">
        <f t="shared" si="6"/>
        <v>#VALUE!</v>
      </c>
      <c r="AA62" s="49" t="e">
        <f t="shared" si="7"/>
        <v>#VALUE!</v>
      </c>
      <c r="AB62" s="39"/>
      <c r="AC62" s="39"/>
      <c r="AD62" s="39"/>
      <c r="AE62" s="39"/>
      <c r="AF62" s="39"/>
      <c r="AG62" s="39"/>
    </row>
    <row r="63" spans="1:33" s="50" customFormat="1" ht="15.75" customHeight="1" x14ac:dyDescent="0.2">
      <c r="A63" s="51" t="s">
        <v>87</v>
      </c>
      <c r="B63" s="51"/>
      <c r="C63" s="52" t="s">
        <v>88</v>
      </c>
      <c r="D63" s="53" t="e">
        <f>IF($P63="A",SUMIFS(D64:D$181,$A64:$A$181,LEFT($A63,$Q63)&amp;"*",$P64:$P$181,"R"),SUMIFS('[1]Balanza Egresos'!$F$1:$F$65536,'[1]Balanza Egresos'!$A$1:$A$65536,$A63))</f>
        <v>#VALUE!</v>
      </c>
      <c r="E63" s="53">
        <f>IF($P63="A",SUMIFS(E64:E$181,$A64:$A$181,LEFT($A63,$Q63)&amp;"*",$P64:$P$181,"R"),((H63/[1]Parametros!$E$12)*12)+$I63)</f>
        <v>44144.58</v>
      </c>
      <c r="F63" s="37">
        <f>IF($P63="A",SUMIFS(F64:F$181,$A64:$A$181,LEFT($A63,$Q63)&amp;"*",$P64:$P$181,"R"),K63+L63+M63+N63)</f>
        <v>55000</v>
      </c>
      <c r="G63" s="62"/>
      <c r="H63" s="59">
        <f>IF($P63="A",SUMIFS(H64:H$181,$A64:$A$181,LEFT($A63,$Q63)&amp;"*",$P64:$P$181,"R"),SUMIFS('[1]Balanza Egresos'!$V$1:$V$65536,'[1]Balanza Egresos'!$A$1:$A$65536,$A63))</f>
        <v>44144.58</v>
      </c>
      <c r="I63" s="59"/>
      <c r="J63" s="39"/>
      <c r="K63" s="61">
        <f>IF($P63="A",SUMIFS(K64:K$181,$A64:$A$181,LEFT($A63,$Q63)&amp;"*",$P64:$P$181,"R"),0)</f>
        <v>35000</v>
      </c>
      <c r="L63" s="61">
        <f>IF($P63="A",SUMIFS(L64:L$181,$A64:$A$181,LEFT($A63,$Q63)&amp;"*",$P64:$P$181,"R"),0)</f>
        <v>0</v>
      </c>
      <c r="M63" s="61">
        <f>IF($P63="A",SUMIFS(M64:M$181,$A64:$A$181,LEFT($A63,$Q63)&amp;"*",$P64:$P$181,"R"),0)</f>
        <v>0</v>
      </c>
      <c r="N63" s="61">
        <f>IF($P63="A",SUMIFS(N64:N$181,$A64:$A$181,LEFT($A63,$Q63)&amp;"*",$P64:$P$181,"R"),0)</f>
        <v>20000</v>
      </c>
      <c r="O63" s="61">
        <f>IF($P63="A",SUMIFS(O64:O$181,$A64:$A$181,LEFT($A63,$Q63)&amp;"*",$P64:$P$181,"R"),0)</f>
        <v>0</v>
      </c>
      <c r="P63" s="41" t="str">
        <f t="shared" si="8"/>
        <v>A</v>
      </c>
      <c r="Q63" s="41">
        <f t="shared" si="9"/>
        <v>3</v>
      </c>
      <c r="R63" s="55" t="e">
        <f t="shared" si="1"/>
        <v>#VALUE!</v>
      </c>
      <c r="S63" s="56">
        <v>1</v>
      </c>
      <c r="T63" s="57">
        <v>3</v>
      </c>
      <c r="U63" s="6"/>
      <c r="V63" s="45" t="e">
        <f t="shared" si="2"/>
        <v>#VALUE!</v>
      </c>
      <c r="W63" s="46" t="e">
        <f t="shared" si="3"/>
        <v>#VALUE!</v>
      </c>
      <c r="X63" s="47" t="e">
        <f t="shared" si="4"/>
        <v>#VALUE!</v>
      </c>
      <c r="Y63" s="46" t="e">
        <f t="shared" si="5"/>
        <v>#VALUE!</v>
      </c>
      <c r="Z63" s="48">
        <f t="shared" si="6"/>
        <v>10855.419999999998</v>
      </c>
      <c r="AA63" s="49">
        <f t="shared" si="7"/>
        <v>0.24590606593153674</v>
      </c>
      <c r="AB63" s="39"/>
      <c r="AC63" s="39"/>
      <c r="AD63" s="39"/>
      <c r="AE63" s="39"/>
      <c r="AF63" s="39"/>
      <c r="AG63" s="39"/>
    </row>
    <row r="64" spans="1:33" s="50" customFormat="1" ht="15.75" customHeight="1" x14ac:dyDescent="0.2">
      <c r="A64" s="51" t="s">
        <v>89</v>
      </c>
      <c r="B64" s="51"/>
      <c r="C64" s="52" t="s">
        <v>88</v>
      </c>
      <c r="D64" s="53" t="e">
        <f>IF($P64="A",SUMIFS(D65:D$181,$A65:$A$181,LEFT($A64,$Q64)&amp;"*",$P65:$P$181,"R"),SUMIFS('[1]Balanza Egresos'!$F$1:$F$65536,'[1]Balanza Egresos'!$A$1:$A$65536,$A64))</f>
        <v>#VALUE!</v>
      </c>
      <c r="E64" s="53">
        <f>IF($P64="A",SUMIFS(E65:E$181,$A65:$A$181,LEFT($A64,$Q64)&amp;"*",$P65:$P$181,"R"),((H64/[1]Parametros!$E$12)*12)+$I64)*0+44144.58</f>
        <v>44144.58</v>
      </c>
      <c r="F64" s="37">
        <f>IF($P64="A",SUMIFS(F65:F$181,$A65:$A$181,LEFT($A64,$Q64)&amp;"*",$P65:$P$181,"R"),K64+L64+M64+N64+O64)</f>
        <v>55000</v>
      </c>
      <c r="G64" s="62" t="s">
        <v>90</v>
      </c>
      <c r="H64" s="59">
        <v>44144.58</v>
      </c>
      <c r="I64" s="59">
        <f>49500-66218.22</f>
        <v>-16718.22</v>
      </c>
      <c r="J64" s="39"/>
      <c r="K64" s="61">
        <f>IF($P64="A",SUMIFS(K65:K$181,$A65:$A$181,LEFT($A64,$Q64)&amp;"*",$P65:$P$181,"R"),0)+35000</f>
        <v>35000</v>
      </c>
      <c r="L64" s="61">
        <f>IF($P64="A",SUMIFS(L65:L$181,$A65:$A$181,LEFT($A64,$Q64)&amp;"*",$P65:$P$181,"R"),0)</f>
        <v>0</v>
      </c>
      <c r="M64" s="61">
        <f>IF($P64="A",SUMIFS(M65:M$181,$A65:$A$181,LEFT($A64,$Q64)&amp;"*",$P65:$P$181,"R"),0)</f>
        <v>0</v>
      </c>
      <c r="N64" s="61">
        <f>IF($P64="A",SUMIFS(N65:N$181,$A65:$A$181,LEFT($A64,$Q64)&amp;"*",$P65:$P$181,"R"),0)+20000</f>
        <v>20000</v>
      </c>
      <c r="O64" s="61">
        <f>IF($P64="A",SUMIFS(O65:O$181,$A65:$A$181,LEFT($A64,$Q64)&amp;"*",$P65:$P$181,"R"),0)</f>
        <v>0</v>
      </c>
      <c r="P64" s="41" t="str">
        <f t="shared" si="8"/>
        <v>R</v>
      </c>
      <c r="Q64" s="41">
        <f t="shared" si="9"/>
        <v>4</v>
      </c>
      <c r="R64" s="55" t="e">
        <f t="shared" si="1"/>
        <v>#VALUE!</v>
      </c>
      <c r="S64" s="56">
        <v>1</v>
      </c>
      <c r="T64" s="57">
        <v>3</v>
      </c>
      <c r="U64" s="6"/>
      <c r="V64" s="45" t="e">
        <f t="shared" si="2"/>
        <v>#VALUE!</v>
      </c>
      <c r="W64" s="46" t="e">
        <f t="shared" si="3"/>
        <v>#VALUE!</v>
      </c>
      <c r="X64" s="47" t="e">
        <f t="shared" si="4"/>
        <v>#VALUE!</v>
      </c>
      <c r="Y64" s="46" t="e">
        <f t="shared" si="5"/>
        <v>#VALUE!</v>
      </c>
      <c r="Z64" s="48">
        <f t="shared" si="6"/>
        <v>10855.419999999998</v>
      </c>
      <c r="AA64" s="49">
        <f t="shared" si="7"/>
        <v>0.24590606593153674</v>
      </c>
      <c r="AB64" s="39"/>
      <c r="AC64" s="39"/>
      <c r="AD64" s="39"/>
      <c r="AE64" s="39"/>
      <c r="AF64" s="39"/>
      <c r="AG64" s="39"/>
    </row>
    <row r="65" spans="1:33" s="50" customFormat="1" ht="15.75" hidden="1" customHeight="1" x14ac:dyDescent="0.2">
      <c r="A65" s="51" t="s">
        <v>91</v>
      </c>
      <c r="B65" s="51"/>
      <c r="C65" s="52" t="str">
        <f>IFERROR(INDEX('[1]Balanza Egresos'!A$1:C$65536,MATCH(A65,'[1]Balanza Egresos'!A$1:A$65536,0),2),"SIN CUENTA")</f>
        <v>SIN CUENTA</v>
      </c>
      <c r="D65" s="53" t="e">
        <f>IF($P65="A",SUMIFS(D66:D$181,$A66:$A$181,LEFT($A65,$Q65)&amp;"*",$P66:$P$181,"R"),SUMIFS('[1]Balanza Egresos'!$F$1:$F$65536,'[1]Balanza Egresos'!$A$1:$A$65536,$A65))</f>
        <v>#VALUE!</v>
      </c>
      <c r="E65" s="53" t="e">
        <f>IF($P65="A",SUMIFS(E66:E$181,$A66:$A$181,LEFT($A65,$Q65)&amp;"*",$P66:$P$181,"R"),((H65/[1]Parametros!$E$12)*12)+$I65)</f>
        <v>#VALUE!</v>
      </c>
      <c r="F65" s="37">
        <f>IF($P65="A",SUMIFS(F66:F$181,$A66:$A$181,LEFT($A65,$Q65)&amp;"*",$P66:$P$181,"R"),K65+L65+M65+N65)</f>
        <v>0</v>
      </c>
      <c r="G65" s="62"/>
      <c r="H65" s="59" t="e">
        <f>IF($P65="A",SUMIFS(H66:H$181,$A66:$A$181,LEFT($A65,$Q65)&amp;"*",$P66:$P$181,"R"),SUMIFS('[1]Balanza Egresos'!$V$1:$V$65536,'[1]Balanza Egresos'!$A$1:$A$65536,$A65))</f>
        <v>#VALUE!</v>
      </c>
      <c r="I65" s="59"/>
      <c r="J65" s="39"/>
      <c r="K65" s="61">
        <f>IF($P65="A",SUMIFS(K66:K$181,$A66:$A$181,LEFT($A65,$Q65)&amp;"*",$P66:$P$181,"R"),0)</f>
        <v>0</v>
      </c>
      <c r="L65" s="61">
        <f>IF($P65="A",SUMIFS(L66:L$181,$A66:$A$181,LEFT($A65,$Q65)&amp;"*",$P66:$P$181,"R"),0)</f>
        <v>0</v>
      </c>
      <c r="M65" s="61">
        <f>IF($P65="A",SUMIFS(M66:M$181,$A66:$A$181,LEFT($A65,$Q65)&amp;"*",$P66:$P$181,"R"),0)</f>
        <v>0</v>
      </c>
      <c r="N65" s="61">
        <f>IF($P65="A",SUMIFS(N66:N$181,$A66:$A$181,LEFT($A65,$Q65)&amp;"*",$P66:$P$181,"R"),0)</f>
        <v>0</v>
      </c>
      <c r="O65" s="61">
        <f>IF($P65="A",SUMIFS(O66:O$181,$A66:$A$181,LEFT($A65,$Q65)&amp;"*",$P66:$P$181,"R"),0)</f>
        <v>0</v>
      </c>
      <c r="P65" s="41" t="str">
        <f t="shared" si="8"/>
        <v>A</v>
      </c>
      <c r="Q65" s="41">
        <f t="shared" si="9"/>
        <v>3</v>
      </c>
      <c r="R65" s="55" t="e">
        <f t="shared" si="1"/>
        <v>#VALUE!</v>
      </c>
      <c r="S65" s="56">
        <v>1</v>
      </c>
      <c r="T65" s="57">
        <v>3</v>
      </c>
      <c r="U65" s="6"/>
      <c r="V65" s="45" t="e">
        <f t="shared" si="2"/>
        <v>#VALUE!</v>
      </c>
      <c r="W65" s="46" t="e">
        <f t="shared" si="3"/>
        <v>#VALUE!</v>
      </c>
      <c r="X65" s="47" t="e">
        <f t="shared" si="4"/>
        <v>#VALUE!</v>
      </c>
      <c r="Y65" s="46" t="e">
        <f t="shared" si="5"/>
        <v>#VALUE!</v>
      </c>
      <c r="Z65" s="48" t="e">
        <f t="shared" si="6"/>
        <v>#VALUE!</v>
      </c>
      <c r="AA65" s="49" t="e">
        <f t="shared" si="7"/>
        <v>#VALUE!</v>
      </c>
      <c r="AB65" s="39"/>
      <c r="AC65" s="39"/>
      <c r="AD65" s="39"/>
      <c r="AE65" s="39"/>
      <c r="AF65" s="39"/>
      <c r="AG65" s="39"/>
    </row>
    <row r="66" spans="1:33" s="50" customFormat="1" ht="15.75" hidden="1" customHeight="1" x14ac:dyDescent="0.2">
      <c r="A66" s="51" t="s">
        <v>92</v>
      </c>
      <c r="B66" s="51"/>
      <c r="C66" s="52" t="str">
        <f>IFERROR(INDEX('[1]Balanza Egresos'!A$1:C$65536,MATCH(A66,'[1]Balanza Egresos'!A$1:A$65536,0),2),"SIN CUENTA")</f>
        <v>SIN CUENTA</v>
      </c>
      <c r="D66" s="53" t="e">
        <f>IF($P66="A",SUMIFS(D67:D$181,$A67:$A$181,LEFT($A66,$Q66)&amp;"*",$P67:$P$181,"R"),SUMIFS('[1]Balanza Egresos'!$F$1:$F$65536,'[1]Balanza Egresos'!$A$1:$A$65536,$A66))</f>
        <v>#VALUE!</v>
      </c>
      <c r="E66" s="53" t="e">
        <f>IF($P66="A",SUMIFS(E67:E$181,$A67:$A$181,LEFT($A66,$Q66)&amp;"*",$P67:$P$181,"R"),((H66/[1]Parametros!$E$12)*12)+$I66)</f>
        <v>#VALUE!</v>
      </c>
      <c r="F66" s="37">
        <f>IF($P66="A",SUMIFS(F67:F$181,$A67:$A$181,LEFT($A66,$Q66)&amp;"*",$P67:$P$181,"R"),K66+L66+M66+N66+O66)</f>
        <v>0</v>
      </c>
      <c r="G66" s="62"/>
      <c r="H66" s="59" t="e">
        <f>IF($P66="A",SUMIFS(H67:H$181,$A67:$A$181,LEFT($A66,$Q66)&amp;"*",$P67:$P$181,"R"),SUMIFS('[1]Balanza Egresos'!$V$1:$V$65536,'[1]Balanza Egresos'!$A$1:$A$65536,$A66))</f>
        <v>#VALUE!</v>
      </c>
      <c r="I66" s="59"/>
      <c r="J66" s="39"/>
      <c r="K66" s="61">
        <f>IF($P66="A",SUMIFS(K67:K$181,$A67:$A$181,LEFT($A66,$Q66)&amp;"*",$P67:$P$181,"R"),0)</f>
        <v>0</v>
      </c>
      <c r="L66" s="61">
        <f>IF($P66="A",SUMIFS(L67:L$181,$A67:$A$181,LEFT($A66,$Q66)&amp;"*",$P67:$P$181,"R"),0)</f>
        <v>0</v>
      </c>
      <c r="M66" s="61">
        <f>IF($P66="A",SUMIFS(M67:M$181,$A67:$A$181,LEFT($A66,$Q66)&amp;"*",$P67:$P$181,"R"),0)</f>
        <v>0</v>
      </c>
      <c r="N66" s="61">
        <f>IF($P66="A",SUMIFS(N67:N$181,$A67:$A$181,LEFT($A66,$Q66)&amp;"*",$P67:$P$181,"R"),0)</f>
        <v>0</v>
      </c>
      <c r="O66" s="61">
        <f>IF($P66="A",SUMIFS(O67:O$181,$A67:$A$181,LEFT($A66,$Q66)&amp;"*",$P67:$P$181,"R"),0)</f>
        <v>0</v>
      </c>
      <c r="P66" s="41" t="str">
        <f t="shared" si="8"/>
        <v>R</v>
      </c>
      <c r="Q66" s="41">
        <f t="shared" si="9"/>
        <v>4</v>
      </c>
      <c r="R66" s="55" t="e">
        <f t="shared" si="1"/>
        <v>#VALUE!</v>
      </c>
      <c r="S66" s="56">
        <v>1</v>
      </c>
      <c r="T66" s="57">
        <v>3</v>
      </c>
      <c r="U66" s="6"/>
      <c r="V66" s="45" t="e">
        <f t="shared" si="2"/>
        <v>#VALUE!</v>
      </c>
      <c r="W66" s="46" t="e">
        <f t="shared" si="3"/>
        <v>#VALUE!</v>
      </c>
      <c r="X66" s="47" t="e">
        <f t="shared" si="4"/>
        <v>#VALUE!</v>
      </c>
      <c r="Y66" s="46" t="e">
        <f t="shared" si="5"/>
        <v>#VALUE!</v>
      </c>
      <c r="Z66" s="48" t="e">
        <f t="shared" si="6"/>
        <v>#VALUE!</v>
      </c>
      <c r="AA66" s="49" t="e">
        <f t="shared" si="7"/>
        <v>#VALUE!</v>
      </c>
      <c r="AB66" s="39"/>
      <c r="AC66" s="39"/>
      <c r="AD66" s="39"/>
      <c r="AE66" s="39"/>
      <c r="AF66" s="39"/>
      <c r="AG66" s="39"/>
    </row>
    <row r="67" spans="1:33" s="50" customFormat="1" ht="15.75" customHeight="1" x14ac:dyDescent="0.2">
      <c r="A67" s="51" t="s">
        <v>93</v>
      </c>
      <c r="B67" s="51"/>
      <c r="C67" s="52" t="str">
        <f>IFERROR(INDEX('[1]Balanza Egresos'!A$1:C$65536,MATCH(A67,'[1]Balanza Egresos'!A$1:A$65536,0),2),"SIN CUENTA")</f>
        <v xml:space="preserve">  Equipos de generación eléctrica, aparatos y accesorios eléctricos</v>
      </c>
      <c r="D67" s="53" t="e">
        <f>IF($P67="A",SUMIFS(D68:D$181,$A68:$A$181,LEFT($A67,$Q67)&amp;"*",$P68:$P$181,"R"),SUMIFS('[1]Balanza Egresos'!$F$1:$F$65536,'[1]Balanza Egresos'!$A$1:$A$65536,$A67))</f>
        <v>#VALUE!</v>
      </c>
      <c r="E67" s="53">
        <f>IF($P67="A",SUMIFS(E68:E$181,$A68:$A$181,LEFT($A67,$Q67)&amp;"*",$P68:$P$181,"R"),((H67/[1]Parametros!$E$12)*12)+$I67)</f>
        <v>40000</v>
      </c>
      <c r="F67" s="37">
        <f>IF($P67="A",SUMIFS(F68:F$181,$A68:$A$181,LEFT($A67,$Q67)&amp;"*",$P68:$P$181,"R"),K67+L67+M67+N67)</f>
        <v>24500</v>
      </c>
      <c r="G67" s="62"/>
      <c r="H67" s="59" t="e">
        <f>IF($P67="A",SUMIFS(H68:H$181,$A68:$A$181,LEFT($A67,$Q67)&amp;"*",$P68:$P$181,"R"),SUMIFS('[1]Balanza Egresos'!$V$1:$V$65536,'[1]Balanza Egresos'!$A$1:$A$65536,$A67))</f>
        <v>#VALUE!</v>
      </c>
      <c r="I67" s="59"/>
      <c r="J67" s="39"/>
      <c r="K67" s="61">
        <f>IF($P67="A",SUMIFS(K68:K$181,$A68:$A$181,LEFT($A67,$Q67)&amp;"*",$P68:$P$181,"R"),0)</f>
        <v>24500</v>
      </c>
      <c r="L67" s="61">
        <f>IF($P67="A",SUMIFS(L68:L$181,$A68:$A$181,LEFT($A67,$Q67)&amp;"*",$P68:$P$181,"R"),0)</f>
        <v>0</v>
      </c>
      <c r="M67" s="61">
        <f>IF($P67="A",SUMIFS(M68:M$181,$A68:$A$181,LEFT($A67,$Q67)&amp;"*",$P68:$P$181,"R"),0)</f>
        <v>0</v>
      </c>
      <c r="N67" s="61">
        <f>IF($P67="A",SUMIFS(N68:N$181,$A68:$A$181,LEFT($A67,$Q67)&amp;"*",$P68:$P$181,"R"),0)</f>
        <v>0</v>
      </c>
      <c r="O67" s="61">
        <f>IF($P67="A",SUMIFS(O68:O$181,$A68:$A$181,LEFT($A67,$Q67)&amp;"*",$P68:$P$181,"R"),0)</f>
        <v>0</v>
      </c>
      <c r="P67" s="41" t="str">
        <f t="shared" si="8"/>
        <v>A</v>
      </c>
      <c r="Q67" s="41">
        <f t="shared" si="9"/>
        <v>3</v>
      </c>
      <c r="R67" s="55" t="e">
        <f t="shared" si="1"/>
        <v>#VALUE!</v>
      </c>
      <c r="S67" s="56">
        <v>1</v>
      </c>
      <c r="T67" s="57">
        <v>3</v>
      </c>
      <c r="U67" s="6"/>
      <c r="V67" s="45" t="e">
        <f t="shared" si="2"/>
        <v>#VALUE!</v>
      </c>
      <c r="W67" s="46" t="e">
        <f t="shared" si="3"/>
        <v>#VALUE!</v>
      </c>
      <c r="X67" s="47" t="e">
        <f t="shared" si="4"/>
        <v>#VALUE!</v>
      </c>
      <c r="Y67" s="46" t="e">
        <f t="shared" si="5"/>
        <v>#VALUE!</v>
      </c>
      <c r="Z67" s="48">
        <f t="shared" si="6"/>
        <v>-15500</v>
      </c>
      <c r="AA67" s="49">
        <f t="shared" si="7"/>
        <v>-0.38750000000000001</v>
      </c>
      <c r="AB67" s="39"/>
      <c r="AC67" s="39"/>
      <c r="AD67" s="39"/>
      <c r="AE67" s="39"/>
      <c r="AF67" s="39"/>
      <c r="AG67" s="39"/>
    </row>
    <row r="68" spans="1:33" s="50" customFormat="1" ht="15.75" customHeight="1" x14ac:dyDescent="0.2">
      <c r="A68" s="51" t="s">
        <v>94</v>
      </c>
      <c r="B68" s="51"/>
      <c r="C68" s="52" t="str">
        <f>IFERROR(INDEX('[1]Balanza Egresos'!A$1:C$65536,MATCH(A68,'[1]Balanza Egresos'!A$1:A$65536,0),2),"SIN CUENTA")</f>
        <v xml:space="preserve">  Equipos de generación eléctrica, aparatos y accesorios eléctricos</v>
      </c>
      <c r="D68" s="53" t="e">
        <f>IF($P68="A",SUMIFS(D69:D$181,$A69:$A$181,LEFT($A68,$Q68)&amp;"*",$P69:$P$181,"R"),SUMIFS('[1]Balanza Egresos'!$F$1:$F$65536,'[1]Balanza Egresos'!$A$1:$A$65536,$A68))</f>
        <v>#VALUE!</v>
      </c>
      <c r="E68" s="53">
        <v>40000</v>
      </c>
      <c r="F68" s="37">
        <f>IF($P68="A",SUMIFS(F69:F$181,$A69:$A$181,LEFT($A68,$Q68)&amp;"*",$P69:$P$181,"R"),K68+L68+M68+N68+O68)</f>
        <v>24500</v>
      </c>
      <c r="G68" s="62" t="s">
        <v>95</v>
      </c>
      <c r="H68" s="59" t="e">
        <f>IF($P68="A",SUMIFS(H69:H$181,$A69:$A$181,LEFT($A68,$Q68)&amp;"*",$P69:$P$181,"R"),SUMIFS('[1]Balanza Egresos'!$V$1:$V$65536,'[1]Balanza Egresos'!$A$1:$A$65536,$A68))</f>
        <v>#VALUE!</v>
      </c>
      <c r="I68" s="59">
        <v>0</v>
      </c>
      <c r="J68" s="39"/>
      <c r="K68" s="61">
        <f>IF($P68="A",SUMIFS(K69:K$181,$A69:$A$181,LEFT($A68,$Q68)&amp;"*",$P69:$P$181,"R"),0)+24500</f>
        <v>24500</v>
      </c>
      <c r="L68" s="61">
        <f>IF($P68="A",SUMIFS(L69:L$181,$A69:$A$181,LEFT($A68,$Q68)&amp;"*",$P69:$P$181,"R"),0)</f>
        <v>0</v>
      </c>
      <c r="M68" s="61">
        <f>IF($P68="A",SUMIFS(M69:M$181,$A69:$A$181,LEFT($A68,$Q68)&amp;"*",$P69:$P$181,"R"),0)</f>
        <v>0</v>
      </c>
      <c r="N68" s="61">
        <f>IF($P68="A",SUMIFS(N69:N$181,$A69:$A$181,LEFT($A68,$Q68)&amp;"*",$P69:$P$181,"R"),0)</f>
        <v>0</v>
      </c>
      <c r="O68" s="61">
        <f>IF($P68="A",SUMIFS(O69:O$181,$A69:$A$181,LEFT($A68,$Q68)&amp;"*",$P69:$P$181,"R"),0)</f>
        <v>0</v>
      </c>
      <c r="P68" s="41" t="str">
        <f t="shared" si="8"/>
        <v>R</v>
      </c>
      <c r="Q68" s="41">
        <f t="shared" si="9"/>
        <v>4</v>
      </c>
      <c r="R68" s="55" t="e">
        <f t="shared" si="1"/>
        <v>#VALUE!</v>
      </c>
      <c r="S68" s="56">
        <v>1</v>
      </c>
      <c r="T68" s="57">
        <v>3</v>
      </c>
      <c r="U68" s="6"/>
      <c r="V68" s="45" t="e">
        <f t="shared" si="2"/>
        <v>#VALUE!</v>
      </c>
      <c r="W68" s="46" t="e">
        <f t="shared" si="3"/>
        <v>#VALUE!</v>
      </c>
      <c r="X68" s="47" t="e">
        <f t="shared" si="4"/>
        <v>#VALUE!</v>
      </c>
      <c r="Y68" s="46" t="e">
        <f t="shared" si="5"/>
        <v>#VALUE!</v>
      </c>
      <c r="Z68" s="48">
        <f t="shared" si="6"/>
        <v>-15500</v>
      </c>
      <c r="AA68" s="49">
        <f t="shared" si="7"/>
        <v>-0.38750000000000001</v>
      </c>
      <c r="AB68" s="39"/>
      <c r="AC68" s="39"/>
      <c r="AD68" s="39"/>
      <c r="AE68" s="39"/>
      <c r="AF68" s="39"/>
      <c r="AG68" s="39"/>
    </row>
    <row r="69" spans="1:33" s="50" customFormat="1" ht="15.75" customHeight="1" x14ac:dyDescent="0.2">
      <c r="A69" s="51" t="s">
        <v>96</v>
      </c>
      <c r="B69" s="51"/>
      <c r="C69" s="52" t="s">
        <v>97</v>
      </c>
      <c r="D69" s="53" t="e">
        <f>IF($P69="A",SUMIFS(D70:D$181,$A70:$A$181,LEFT($A69,$Q69)&amp;"*",$P70:$P$181,"R"),SUMIFS('[1]Balanza Egresos'!$F$1:$F$65536,'[1]Balanza Egresos'!$A$1:$A$65536,$A69))</f>
        <v>#VALUE!</v>
      </c>
      <c r="E69" s="53">
        <f>IF($P69="A",SUMIFS(E70:E$181,$A70:$A$181,LEFT($A69,$Q69)&amp;"*",$P70:$P$181,"R"),((H69/[1]Parametros!$E$12)*12)+$I69)</f>
        <v>410000</v>
      </c>
      <c r="F69" s="37">
        <f>IF($P69="A",SUMIFS(F70:F$181,$A70:$A$181,LEFT($A69,$Q69)&amp;"*",$P70:$P$181,"R"),K69+L69+M69+N69)</f>
        <v>4100000</v>
      </c>
      <c r="G69" s="62"/>
      <c r="H69" s="59" t="e">
        <f>IF($P69="A",SUMIFS(H70:H$181,$A70:$A$181,LEFT($A69,$Q69)&amp;"*",$P70:$P$181,"R"),SUMIFS('[1]Balanza Egresos'!$V$1:$V$65536,'[1]Balanza Egresos'!$A$1:$A$65536,$A69))</f>
        <v>#VALUE!</v>
      </c>
      <c r="I69" s="59"/>
      <c r="J69" s="39"/>
      <c r="K69" s="61">
        <f>IF($P69="A",SUMIFS(K70:K$181,$A70:$A$181,LEFT($A69,$Q69)&amp;"*",$P70:$P$181,"R"),0)</f>
        <v>0</v>
      </c>
      <c r="L69" s="61">
        <f>IF($P69="A",SUMIFS(L70:L$181,$A70:$A$181,LEFT($A69,$Q69)&amp;"*",$P70:$P$181,"R"),0)</f>
        <v>0</v>
      </c>
      <c r="M69" s="61">
        <f>IF($P69="A",SUMIFS(M70:M$181,$A70:$A$181,LEFT($A69,$Q69)&amp;"*",$P70:$P$181,"R"),0)</f>
        <v>1000000</v>
      </c>
      <c r="N69" s="61">
        <f>IF($P69="A",SUMIFS(N70:N$181,$A70:$A$181,LEFT($A69,$Q69)&amp;"*",$P70:$P$181,"R"),0)</f>
        <v>3100000</v>
      </c>
      <c r="O69" s="61">
        <f>IF($P69="A",SUMIFS(O70:O$181,$A70:$A$181,LEFT($A69,$Q69)&amp;"*",$P70:$P$181,"R"),0)</f>
        <v>0</v>
      </c>
      <c r="P69" s="41" t="str">
        <f t="shared" si="8"/>
        <v>A</v>
      </c>
      <c r="Q69" s="41">
        <f t="shared" si="9"/>
        <v>3</v>
      </c>
      <c r="R69" s="55" t="e">
        <f t="shared" si="1"/>
        <v>#VALUE!</v>
      </c>
      <c r="S69" s="56">
        <v>1</v>
      </c>
      <c r="T69" s="57">
        <v>3</v>
      </c>
      <c r="U69" s="6"/>
      <c r="V69" s="45" t="e">
        <f t="shared" si="2"/>
        <v>#VALUE!</v>
      </c>
      <c r="W69" s="46" t="e">
        <f t="shared" si="3"/>
        <v>#VALUE!</v>
      </c>
      <c r="X69" s="47" t="e">
        <f t="shared" si="4"/>
        <v>#VALUE!</v>
      </c>
      <c r="Y69" s="46" t="e">
        <f t="shared" si="5"/>
        <v>#VALUE!</v>
      </c>
      <c r="Z69" s="48">
        <f t="shared" si="6"/>
        <v>3690000</v>
      </c>
      <c r="AA69" s="49">
        <f t="shared" si="7"/>
        <v>9</v>
      </c>
      <c r="AB69" s="39"/>
      <c r="AC69" s="39"/>
      <c r="AD69" s="39"/>
      <c r="AE69" s="39"/>
      <c r="AF69" s="39"/>
      <c r="AG69" s="39"/>
    </row>
    <row r="70" spans="1:33" s="50" customFormat="1" ht="15.75" customHeight="1" x14ac:dyDescent="0.2">
      <c r="A70" s="51" t="s">
        <v>98</v>
      </c>
      <c r="B70" s="51"/>
      <c r="C70" s="52" t="s">
        <v>97</v>
      </c>
      <c r="D70" s="53" t="e">
        <f>IF($P70="A",SUMIFS(D71:D$181,$A71:$A$181,LEFT($A70,$Q70)&amp;"*",$P71:$P$181,"R"),SUMIFS('[1]Balanza Egresos'!$F$1:$F$65536,'[1]Balanza Egresos'!$A$1:$A$65536,$A70))</f>
        <v>#VALUE!</v>
      </c>
      <c r="E70" s="53">
        <v>410000</v>
      </c>
      <c r="F70" s="37">
        <f>IF($P70="A",SUMIFS(F71:F$181,$A71:$A$181,LEFT($A70,$Q70)&amp;"*",$P71:$P$181,"R"),K70+L70+M70+N70+O70)</f>
        <v>4100000</v>
      </c>
      <c r="G70" s="62" t="s">
        <v>99</v>
      </c>
      <c r="H70" s="59" t="e">
        <f>IF($P70="A",SUMIFS(H71:H$181,$A71:$A$181,LEFT($A70,$Q70)&amp;"*",$P71:$P$181,"R"),SUMIFS('[1]Balanza Egresos'!$V$1:$V$65536,'[1]Balanza Egresos'!$A$1:$A$65536,$A70))</f>
        <v>#VALUE!</v>
      </c>
      <c r="I70" s="59">
        <f>-502803.3+410000</f>
        <v>-92803.299999999988</v>
      </c>
      <c r="J70" s="39"/>
      <c r="K70" s="61">
        <f>IF($P70="A",SUMIFS(K71:K$181,$A71:$A$181,LEFT($A70,$Q70)&amp;"*",$P71:$P$181,"R"),0)</f>
        <v>0</v>
      </c>
      <c r="L70" s="61">
        <f>IF($P70="A",SUMIFS(L71:L$181,$A71:$A$181,LEFT($A70,$Q70)&amp;"*",$P71:$P$181,"R"),0)</f>
        <v>0</v>
      </c>
      <c r="M70" s="61">
        <f>IF($P70="A",SUMIFS(M71:M$181,$A71:$A$181,LEFT($A70,$Q70)&amp;"*",$P71:$P$181,"R"),0)+1000000</f>
        <v>1000000</v>
      </c>
      <c r="N70" s="61">
        <f>IF($P70="A",SUMIFS(N71:N$181,$A71:$A$181,LEFT($A70,$Q70)&amp;"*",$P71:$P$181,"R"),0)+3100000</f>
        <v>3100000</v>
      </c>
      <c r="O70" s="61">
        <f>IF($P70="A",SUMIFS(O71:O$181,$A71:$A$181,LEFT($A70,$Q70)&amp;"*",$P71:$P$181,"R"),0)</f>
        <v>0</v>
      </c>
      <c r="P70" s="41" t="str">
        <f t="shared" si="8"/>
        <v>R</v>
      </c>
      <c r="Q70" s="41">
        <f t="shared" si="9"/>
        <v>4</v>
      </c>
      <c r="R70" s="55" t="e">
        <f t="shared" si="1"/>
        <v>#VALUE!</v>
      </c>
      <c r="S70" s="56">
        <v>1</v>
      </c>
      <c r="T70" s="57">
        <v>3</v>
      </c>
      <c r="U70" s="6"/>
      <c r="V70" s="45" t="e">
        <f t="shared" si="2"/>
        <v>#VALUE!</v>
      </c>
      <c r="W70" s="46" t="e">
        <f t="shared" si="3"/>
        <v>#VALUE!</v>
      </c>
      <c r="X70" s="47" t="e">
        <f t="shared" si="4"/>
        <v>#VALUE!</v>
      </c>
      <c r="Y70" s="46" t="e">
        <f t="shared" si="5"/>
        <v>#VALUE!</v>
      </c>
      <c r="Z70" s="48">
        <f t="shared" si="6"/>
        <v>3690000</v>
      </c>
      <c r="AA70" s="49">
        <f t="shared" si="7"/>
        <v>9</v>
      </c>
      <c r="AB70" s="39"/>
      <c r="AC70" s="39"/>
      <c r="AD70" s="39"/>
      <c r="AE70" s="39"/>
      <c r="AF70" s="39"/>
      <c r="AG70" s="39"/>
    </row>
    <row r="71" spans="1:33" s="50" customFormat="1" ht="15.75" hidden="1" customHeight="1" x14ac:dyDescent="0.2">
      <c r="A71" s="51" t="s">
        <v>100</v>
      </c>
      <c r="B71" s="51"/>
      <c r="C71" s="52" t="s">
        <v>101</v>
      </c>
      <c r="D71" s="53" t="e">
        <f>IF($P71="A",SUMIFS(D72:D$181,$A72:$A$181,LEFT($A71,$Q71)&amp;"*",$P72:$P$181,"R"),SUMIFS('[1]Balanza Egresos'!$F$1:$F$65536,'[1]Balanza Egresos'!$A$1:$A$65536,$A71))</f>
        <v>#VALUE!</v>
      </c>
      <c r="E71" s="53" t="e">
        <f>IF($P71="A",SUMIFS(E72:E$181,$A72:$A$181,LEFT($A71,$Q71)&amp;"*",$P72:$P$181,"R"),((H71/[1]Parametros!$E$12)*12)+$I71)</f>
        <v>#VALUE!</v>
      </c>
      <c r="F71" s="37">
        <f>IF($P71="A",SUMIFS(F72:F$181,$A72:$A$181,LEFT($A71,$Q71)&amp;"*",$P72:$P$181,"R"),K71+L71+M71+N71)</f>
        <v>0</v>
      </c>
      <c r="G71" s="62"/>
      <c r="H71" s="53" t="e">
        <f>IF($P71="A",SUMIFS(H72:H$181,$A72:$A$181,LEFT($A71,$Q71)&amp;"*",$P72:$P$181,"R"),SUMIFS('[1]Balanza Egresos'!$V$1:$V$65536,'[1]Balanza Egresos'!$A$1:$A$65536,$A71))</f>
        <v>#VALUE!</v>
      </c>
      <c r="I71" s="53">
        <f>I72</f>
        <v>0</v>
      </c>
      <c r="J71" s="39"/>
      <c r="K71" s="61">
        <f>IF($P71="A",SUMIFS(K72:K$181,$A72:$A$181,LEFT($A71,$Q71)&amp;"*",$P72:$P$181,"R"),0)</f>
        <v>0</v>
      </c>
      <c r="L71" s="61">
        <f>IF($P71="A",SUMIFS(L72:L$181,$A72:$A$181,LEFT($A71,$Q71)&amp;"*",$P72:$P$181,"R"),0)</f>
        <v>0</v>
      </c>
      <c r="M71" s="61">
        <f>IF($P71="A",SUMIFS(M72:M$181,$A72:$A$181,LEFT($A71,$Q71)&amp;"*",$P72:$P$181,"R"),0)</f>
        <v>0</v>
      </c>
      <c r="N71" s="61">
        <f>IF($P71="A",SUMIFS(N72:N$181,$A72:$A$181,LEFT($A71,$Q71)&amp;"*",$P72:$P$181,"R"),0)</f>
        <v>0</v>
      </c>
      <c r="O71" s="61">
        <f>IF($P71="A",SUMIFS(O72:O$181,$A72:$A$181,LEFT($A71,$Q71)&amp;"*",$P72:$P$181,"R"),0)</f>
        <v>0</v>
      </c>
      <c r="P71" s="41" t="str">
        <f t="shared" si="8"/>
        <v>A</v>
      </c>
      <c r="Q71" s="41">
        <f t="shared" si="9"/>
        <v>3</v>
      </c>
      <c r="R71" s="55" t="e">
        <f t="shared" si="1"/>
        <v>#VALUE!</v>
      </c>
      <c r="S71" s="56">
        <v>1</v>
      </c>
      <c r="T71" s="57" t="s">
        <v>23</v>
      </c>
      <c r="U71" s="6"/>
      <c r="V71" s="45" t="e">
        <f t="shared" si="2"/>
        <v>#VALUE!</v>
      </c>
      <c r="W71" s="46" t="e">
        <f t="shared" si="3"/>
        <v>#VALUE!</v>
      </c>
      <c r="X71" s="47" t="e">
        <f t="shared" si="4"/>
        <v>#VALUE!</v>
      </c>
      <c r="Y71" s="46" t="e">
        <f t="shared" si="5"/>
        <v>#VALUE!</v>
      </c>
      <c r="Z71" s="48" t="e">
        <f t="shared" si="6"/>
        <v>#VALUE!</v>
      </c>
      <c r="AA71" s="49" t="e">
        <f t="shared" si="7"/>
        <v>#VALUE!</v>
      </c>
      <c r="AB71" s="39"/>
      <c r="AC71" s="39"/>
      <c r="AD71" s="39"/>
      <c r="AE71" s="39"/>
      <c r="AF71" s="39"/>
      <c r="AG71" s="39"/>
    </row>
    <row r="72" spans="1:33" s="50" customFormat="1" ht="15" hidden="1" customHeight="1" x14ac:dyDescent="0.2">
      <c r="A72" s="51" t="s">
        <v>102</v>
      </c>
      <c r="B72" s="51"/>
      <c r="C72" s="52" t="s">
        <v>101</v>
      </c>
      <c r="D72" s="53" t="e">
        <f>IF($P72="A",SUMIFS(D73:D$181,$A73:$A$181,LEFT($A72,$Q72)&amp;"*",$P73:$P$181,"R"),SUMIFS('[1]Balanza Egresos'!$F$1:$F$65536,'[1]Balanza Egresos'!$A$1:$A$65536,$A72))</f>
        <v>#VALUE!</v>
      </c>
      <c r="E72" s="53" t="e">
        <f>IF($P72="A",SUMIFS(E74:E$181,$A74:$A$181,LEFT($A72,$Q72)&amp;"*",$P74:$P$181,"R"),((H72/[1]Parametros!$E$12)*12)+$I72)</f>
        <v>#VALUE!</v>
      </c>
      <c r="F72" s="37">
        <f>IF($P72="A",SUMIFS(F73:F$181,$A73:$A$181,LEFT($A72,$Q72)&amp;"*",$P73:$P$181,"R"),K72+L72+M72+N72+O72)</f>
        <v>0</v>
      </c>
      <c r="G72" s="62"/>
      <c r="H72" s="59" t="e">
        <f>IF($P72="A",SUMIFS(H73:H$181,$A73:$A$181,LEFT($A72,$Q72)&amp;"*",$P73:$P$181,"R"),SUMIFS('[1]Balanza Egresos'!$V$1:$V$65536,'[1]Balanza Egresos'!$A$1:$A$65536,$A72))</f>
        <v>#VALUE!</v>
      </c>
      <c r="I72" s="59"/>
      <c r="J72" s="39"/>
      <c r="K72" s="61">
        <f>IF($P72="A",SUMIFS(K73:K$181,$A73:$A$181,LEFT($A72,$Q72)&amp;"*",$P73:$P$181,"R"),0)</f>
        <v>0</v>
      </c>
      <c r="L72" s="61">
        <f>IF($P72="A",SUMIFS(L73:L$181,$A73:$A$181,LEFT($A72,$Q72)&amp;"*",$P73:$P$181,"R"),0)</f>
        <v>0</v>
      </c>
      <c r="M72" s="61">
        <f>IF($P72="A",SUMIFS(M73:M$181,$A73:$A$181,LEFT($A72,$Q72)&amp;"*",$P73:$P$181,"R"),0)</f>
        <v>0</v>
      </c>
      <c r="N72" s="61">
        <f>IF($P72="A",SUMIFS(N73:N$181,$A73:$A$181,LEFT($A72,$Q72)&amp;"*",$P73:$P$181,"R"),0)</f>
        <v>0</v>
      </c>
      <c r="O72" s="61">
        <f>IF($P72="A",SUMIFS(O73:O$181,$A73:$A$181,LEFT($A72,$Q72)&amp;"*",$P73:$P$181,"R"),0)</f>
        <v>0</v>
      </c>
      <c r="P72" s="41" t="str">
        <f t="shared" si="8"/>
        <v>R</v>
      </c>
      <c r="Q72" s="41">
        <f t="shared" si="9"/>
        <v>4</v>
      </c>
      <c r="R72" s="55" t="e">
        <f t="shared" si="1"/>
        <v>#VALUE!</v>
      </c>
      <c r="S72" s="56">
        <v>1</v>
      </c>
      <c r="T72" s="57">
        <v>3</v>
      </c>
      <c r="U72" s="6"/>
      <c r="V72" s="45" t="e">
        <f t="shared" si="2"/>
        <v>#VALUE!</v>
      </c>
      <c r="W72" s="46" t="e">
        <f t="shared" si="3"/>
        <v>#VALUE!</v>
      </c>
      <c r="X72" s="47" t="e">
        <f t="shared" si="4"/>
        <v>#VALUE!</v>
      </c>
      <c r="Y72" s="46" t="e">
        <f t="shared" si="5"/>
        <v>#VALUE!</v>
      </c>
      <c r="Z72" s="48" t="e">
        <f t="shared" si="6"/>
        <v>#VALUE!</v>
      </c>
      <c r="AA72" s="49" t="e">
        <f t="shared" si="7"/>
        <v>#VALUE!</v>
      </c>
      <c r="AB72" s="39"/>
      <c r="AC72" s="39"/>
      <c r="AD72" s="39"/>
      <c r="AE72" s="39"/>
      <c r="AF72" s="39"/>
      <c r="AG72" s="39"/>
    </row>
    <row r="73" spans="1:33" s="50" customFormat="1" ht="15" hidden="1" customHeight="1" x14ac:dyDescent="0.2">
      <c r="A73" s="51" t="s">
        <v>103</v>
      </c>
      <c r="B73" s="51"/>
      <c r="C73" s="52" t="s">
        <v>104</v>
      </c>
      <c r="D73" s="53" t="e">
        <f>IF($P73="A",SUMIFS(D74:D$181,$A74:$A$181,LEFT($A73,$Q73)&amp;"*",$P74:$P$181,"R"),SUMIFS('[1]Balanza Egresos'!$F$1:$F$65536,'[1]Balanza Egresos'!$A$1:$A$65536,$A73))</f>
        <v>#VALUE!</v>
      </c>
      <c r="E73" s="53" t="e">
        <f>IF($P73="A",SUMIFS(E75:E$181,$A75:$A$181,LEFT($A73,$Q73)&amp;"*",$P75:$P$181,"R"),((H73/[1]Parametros!$E$12)*12)+$I73)</f>
        <v>#VALUE!</v>
      </c>
      <c r="F73" s="37">
        <f>IF($P73="A",SUMIFS(F74:F$181,$A74:$A$181,LEFT($A73,$Q73)&amp;"*",$P74:$P$181,"R"),K73+L73+M73+N73+O73)</f>
        <v>0</v>
      </c>
      <c r="G73" s="62"/>
      <c r="H73" s="59" t="e">
        <f>IF($P73="A",SUMIFS(H74:H$181,$A74:$A$181,LEFT($A73,$Q73)&amp;"*",$P74:$P$181,"R"),SUMIFS('[1]Balanza Egresos'!$V$1:$V$65536,'[1]Balanza Egresos'!$A$1:$A$65536,$A73))</f>
        <v>#VALUE!</v>
      </c>
      <c r="I73" s="59"/>
      <c r="J73" s="39"/>
      <c r="K73" s="61">
        <f>IF($P73="A",SUMIFS(K74:K$181,$A74:$A$181,LEFT($A73,$Q73)&amp;"*",$P74:$P$181,"R"),0)</f>
        <v>0</v>
      </c>
      <c r="L73" s="61">
        <f>IF($P73="A",SUMIFS(L74:L$181,$A74:$A$181,LEFT($A73,$Q73)&amp;"*",$P74:$P$181,"R"),0)</f>
        <v>0</v>
      </c>
      <c r="M73" s="61">
        <v>0</v>
      </c>
      <c r="N73" s="61">
        <f>IF($P73="A",SUMIFS(N74:N$181,$A74:$A$181,LEFT($A73,$Q73)&amp;"*",$P74:$P$181,"R"),0)</f>
        <v>0</v>
      </c>
      <c r="O73" s="61">
        <f>IF($P73="A",SUMIFS(O74:O$181,$A74:$A$181,LEFT($A73,$Q73)&amp;"*",$P74:$P$181,"R"),0)</f>
        <v>0</v>
      </c>
      <c r="P73" s="41" t="str">
        <f>IF(RIGHT(A73,2)="00","A","R")</f>
        <v>R</v>
      </c>
      <c r="Q73" s="41">
        <f>IF(RIGHT(A73,4)="0000",1,IF(RIGHT(A73,3)="000",2,IF(RIGHT(A73,2)="00",3,4)))</f>
        <v>4</v>
      </c>
      <c r="R73" s="55" t="e">
        <f>IF(ABS(D73+E73+F73+H73)&gt;0,"SI","NO")</f>
        <v>#VALUE!</v>
      </c>
      <c r="S73" s="56">
        <v>1</v>
      </c>
      <c r="T73" s="57">
        <v>3</v>
      </c>
      <c r="U73" s="6"/>
      <c r="V73" s="45" t="e">
        <f>D73-E73</f>
        <v>#VALUE!</v>
      </c>
      <c r="W73" s="46" t="e">
        <f>IF(D73=0,0,V73/D73)</f>
        <v>#VALUE!</v>
      </c>
      <c r="X73" s="47" t="e">
        <f>F73-D73</f>
        <v>#VALUE!</v>
      </c>
      <c r="Y73" s="46" t="e">
        <f>IF(D73=0,0,X73/D73)</f>
        <v>#VALUE!</v>
      </c>
      <c r="Z73" s="48" t="e">
        <f>+F73-E73</f>
        <v>#VALUE!</v>
      </c>
      <c r="AA73" s="49" t="e">
        <f>IF(E73=0,0,Z73/E73)</f>
        <v>#VALUE!</v>
      </c>
      <c r="AB73" s="39"/>
      <c r="AC73" s="39"/>
      <c r="AD73" s="39"/>
      <c r="AE73" s="39"/>
      <c r="AF73" s="39"/>
      <c r="AG73" s="39"/>
    </row>
    <row r="74" spans="1:33" s="50" customFormat="1" ht="15.75" hidden="1" customHeight="1" x14ac:dyDescent="0.2">
      <c r="A74" s="51" t="s">
        <v>105</v>
      </c>
      <c r="B74" s="51"/>
      <c r="C74" s="52" t="str">
        <f>IFERROR(INDEX('[1]Balanza Egresos'!A$1:C$65536,MATCH(A74,'[1]Balanza Egresos'!A$1:A$65536,0),2),"SIN CUENTA")</f>
        <v>SIN CUENTA</v>
      </c>
      <c r="D74" s="53" t="e">
        <f>IF($P74="A",SUMIFS(D75:D$181,$A75:$A$181,LEFT($A74,$Q74)&amp;"*",$P75:$P$181,"R"),SUMIFS('[1]Balanza Egresos'!$F$1:$F$65536,'[1]Balanza Egresos'!$A$1:$A$65536,$A74))</f>
        <v>#VALUE!</v>
      </c>
      <c r="E74" s="53" t="e">
        <f>IF($P74="A",SUMIFS(E75:E$181,$A75:$A$181,LEFT($A74,$Q74)&amp;"*",$P75:$P$181,"R"),((H74/[1]Parametros!$E$12)*12)+$I74)</f>
        <v>#VALUE!</v>
      </c>
      <c r="F74" s="37">
        <f>IF($P74="A",SUMIFS(F75:F$181,$A75:$A$181,LEFT($A74,$Q74)&amp;"*",$P75:$P$181,"R"),K74+L74+M74+N74)</f>
        <v>0</v>
      </c>
      <c r="G74" s="62"/>
      <c r="H74" s="53" t="e">
        <f>IF($P74="A",SUMIFS(H75:H$181,$A75:$A$181,LEFT($A74,$Q74)&amp;"*",$P75:$P$181,"R"),SUMIFS('[1]Balanza Egresos'!$V$1:$V$65536,'[1]Balanza Egresos'!$A$1:$A$65536,$A74))</f>
        <v>#VALUE!</v>
      </c>
      <c r="I74" s="53">
        <f>I92+I91+I90+I83+I82+I80+I78+I77+I75</f>
        <v>0</v>
      </c>
      <c r="J74" s="39"/>
      <c r="K74" s="61">
        <f>IF($P74="A",SUMIFS(K75:K$181,$A75:$A$181,LEFT($A74,$Q74)&amp;"*",$P75:$P$181,"R"),0)</f>
        <v>0</v>
      </c>
      <c r="L74" s="61">
        <f>IF($P74="A",SUMIFS(L75:L$181,$A75:$A$181,LEFT($A74,$Q74)&amp;"*",$P75:$P$181,"R"),0)</f>
        <v>0</v>
      </c>
      <c r="M74" s="61">
        <f>IF($P74="A",SUMIFS(M75:M$181,$A75:$A$181,LEFT($A74,$Q74)&amp;"*",$P75:$P$181,"R"),0)</f>
        <v>0</v>
      </c>
      <c r="N74" s="61">
        <f>IF($P74="A",SUMIFS(N75:N$181,$A75:$A$181,LEFT($A74,$Q74)&amp;"*",$P75:$P$181,"R"),0)</f>
        <v>0</v>
      </c>
      <c r="O74" s="61">
        <f>IF($P74="A",SUMIFS(O75:O$181,$A75:$A$181,LEFT($A74,$Q74)&amp;"*",$P75:$P$181,"R"),0)</f>
        <v>0</v>
      </c>
      <c r="P74" s="41" t="str">
        <f t="shared" si="8"/>
        <v>A</v>
      </c>
      <c r="Q74" s="41">
        <f t="shared" si="9"/>
        <v>2</v>
      </c>
      <c r="R74" s="55" t="e">
        <f t="shared" ref="R74:R137" si="10">IF(ABS(D74+E74+F74+H74)&gt;0,"SI","NO")</f>
        <v>#VALUE!</v>
      </c>
      <c r="S74" s="56">
        <v>1</v>
      </c>
      <c r="T74" s="57" t="s">
        <v>23</v>
      </c>
      <c r="U74" s="6"/>
      <c r="V74" s="45" t="e">
        <f t="shared" ref="V74:V108" si="11">D74-E74</f>
        <v>#VALUE!</v>
      </c>
      <c r="W74" s="46" t="e">
        <f t="shared" ref="W74:W108" si="12">IF(D74=0,0,V74/D74)</f>
        <v>#VALUE!</v>
      </c>
      <c r="X74" s="47" t="e">
        <f t="shared" ref="X74:X108" si="13">F74-D74</f>
        <v>#VALUE!</v>
      </c>
      <c r="Y74" s="46" t="e">
        <f t="shared" ref="Y74:Y108" si="14">IF(D74=0,0,X74/D74)</f>
        <v>#VALUE!</v>
      </c>
      <c r="Z74" s="48" t="e">
        <f t="shared" ref="Z74:Z108" si="15">+F74-E74</f>
        <v>#VALUE!</v>
      </c>
      <c r="AA74" s="49" t="e">
        <f t="shared" ref="AA74:AA108" si="16">IF(E74=0,0,Z74/E74)</f>
        <v>#VALUE!</v>
      </c>
      <c r="AB74" s="39"/>
      <c r="AC74" s="39"/>
      <c r="AD74" s="39"/>
      <c r="AE74" s="39"/>
      <c r="AF74" s="39"/>
      <c r="AG74" s="39"/>
    </row>
    <row r="75" spans="1:33" s="50" customFormat="1" ht="15.75" hidden="1" customHeight="1" x14ac:dyDescent="0.2">
      <c r="A75" s="51" t="s">
        <v>106</v>
      </c>
      <c r="B75" s="51"/>
      <c r="C75" s="52" t="str">
        <f>IFERROR(INDEX('[1]Balanza Egresos'!A$1:C$65536,MATCH(A75,'[1]Balanza Egresos'!A$1:A$65536,0),2),"SIN CUENTA")</f>
        <v>SIN CUENTA</v>
      </c>
      <c r="D75" s="53" t="e">
        <f>IF($P75="A",SUMIFS(D76:D$181,$A76:$A$181,LEFT($A75,$Q75)&amp;"*",$P76:$P$181,"R"),SUMIFS('[1]Balanza Egresos'!$F$1:$F$65536,'[1]Balanza Egresos'!$A$1:$A$65536,$A75))</f>
        <v>#VALUE!</v>
      </c>
      <c r="E75" s="53" t="e">
        <f>IF($P75="A",SUMIFS(E76:E$181,$A76:$A$181,LEFT($A75,$Q75)&amp;"*",$P76:$P$181,"R"),((H75/[1]Parametros!$E$12)*12)+$I75)</f>
        <v>#VALUE!</v>
      </c>
      <c r="F75" s="37">
        <f>IF($P75="A",SUMIFS(F76:F$181,$A76:$A$181,LEFT($A75,$Q75)&amp;"*",$P76:$P$181,"R"),K75+L75+M75+N75)</f>
        <v>0</v>
      </c>
      <c r="G75" s="62"/>
      <c r="H75" s="53" t="e">
        <f>IF($P75="A",SUMIFS(H76:H$181,$A76:$A$181,LEFT($A75,$Q75)&amp;"*",$P76:$P$181,"R"),SUMIFS('[1]Balanza Egresos'!$V$1:$V$65536,'[1]Balanza Egresos'!$A$1:$A$65536,$A75))</f>
        <v>#VALUE!</v>
      </c>
      <c r="I75" s="53">
        <f>I76</f>
        <v>0</v>
      </c>
      <c r="J75" s="39"/>
      <c r="K75" s="61">
        <f>IF($P75="A",SUMIFS(K76:K$181,$A76:$A$181,LEFT($A75,$Q75)&amp;"*",$P76:$P$181,"R"),0)</f>
        <v>0</v>
      </c>
      <c r="L75" s="61">
        <f>IF($P75="A",SUMIFS(L76:L$181,$A76:$A$181,LEFT($A75,$Q75)&amp;"*",$P76:$P$181,"R"),0)</f>
        <v>0</v>
      </c>
      <c r="M75" s="61">
        <f>IF($P75="A",SUMIFS(M76:M$181,$A76:$A$181,LEFT($A75,$Q75)&amp;"*",$P76:$P$181,"R"),0)</f>
        <v>0</v>
      </c>
      <c r="N75" s="61">
        <f>IF($P75="A",SUMIFS(N76:N$181,$A76:$A$181,LEFT($A75,$Q75)&amp;"*",$P76:$P$181,"R"),0)</f>
        <v>0</v>
      </c>
      <c r="O75" s="61">
        <f>IF($P75="A",SUMIFS(O76:O$181,$A76:$A$181,LEFT($A75,$Q75)&amp;"*",$P76:$P$181,"R"),0)</f>
        <v>0</v>
      </c>
      <c r="P75" s="41" t="str">
        <f t="shared" si="8"/>
        <v>A</v>
      </c>
      <c r="Q75" s="41">
        <f t="shared" si="9"/>
        <v>3</v>
      </c>
      <c r="R75" s="55" t="e">
        <f t="shared" si="10"/>
        <v>#VALUE!</v>
      </c>
      <c r="S75" s="56">
        <v>1</v>
      </c>
      <c r="T75" s="57" t="s">
        <v>23</v>
      </c>
      <c r="U75" s="6"/>
      <c r="V75" s="45" t="e">
        <f t="shared" si="11"/>
        <v>#VALUE!</v>
      </c>
      <c r="W75" s="46" t="e">
        <f t="shared" si="12"/>
        <v>#VALUE!</v>
      </c>
      <c r="X75" s="47" t="e">
        <f t="shared" si="13"/>
        <v>#VALUE!</v>
      </c>
      <c r="Y75" s="46" t="e">
        <f t="shared" si="14"/>
        <v>#VALUE!</v>
      </c>
      <c r="Z75" s="48" t="e">
        <f t="shared" si="15"/>
        <v>#VALUE!</v>
      </c>
      <c r="AA75" s="49" t="e">
        <f t="shared" si="16"/>
        <v>#VALUE!</v>
      </c>
      <c r="AB75" s="39"/>
      <c r="AC75" s="39"/>
      <c r="AD75" s="39"/>
      <c r="AE75" s="39"/>
      <c r="AF75" s="39"/>
      <c r="AG75" s="39"/>
    </row>
    <row r="76" spans="1:33" s="50" customFormat="1" ht="15.75" hidden="1" customHeight="1" x14ac:dyDescent="0.2">
      <c r="A76" s="51" t="s">
        <v>107</v>
      </c>
      <c r="B76" s="51"/>
      <c r="C76" s="52" t="str">
        <f>IFERROR(INDEX('[1]Balanza Egresos'!A$1:C$65536,MATCH(A76,'[1]Balanza Egresos'!A$1:A$65536,0),2),"SIN CUENTA")</f>
        <v>SIN CUENTA</v>
      </c>
      <c r="D76" s="53" t="e">
        <f>IF($P76="A",SUMIFS(D77:D$181,$A77:$A$181,LEFT($A76,$Q76)&amp;"*",$P77:$P$181,"R"),SUMIFS('[1]Balanza Egresos'!$F$1:$F$65536,'[1]Balanza Egresos'!$A$1:$A$65536,$A76))</f>
        <v>#VALUE!</v>
      </c>
      <c r="E76" s="53" t="e">
        <f>IF($P76="A",SUMIFS(E77:E$181,$A77:$A$181,LEFT($A76,$Q76)&amp;"*",$P77:$P$181,"R"),((H76/[1]Parametros!$E$12)*12)+$I76)</f>
        <v>#VALUE!</v>
      </c>
      <c r="F76" s="37">
        <f>IF($P76="A",SUMIFS(F77:F$181,$A77:$A$181,LEFT($A76,$Q76)&amp;"*",$P77:$P$181,"R"),K76+L76+M76+N76+O76)</f>
        <v>0</v>
      </c>
      <c r="G76" s="62"/>
      <c r="H76" s="59" t="e">
        <f>IF($P76="A",SUMIFS(H77:H$181,$A77:$A$181,LEFT($A76,$Q76)&amp;"*",$P77:$P$181,"R"),SUMIFS('[1]Balanza Egresos'!$V$1:$V$65536,'[1]Balanza Egresos'!$A$1:$A$65536,$A76))</f>
        <v>#VALUE!</v>
      </c>
      <c r="I76" s="59"/>
      <c r="J76" s="39"/>
      <c r="K76" s="61">
        <f>IF($P76="A",SUMIFS(K77:K$181,$A77:$A$181,LEFT($A76,$Q76)&amp;"*",$P77:$P$181,"R"),0)</f>
        <v>0</v>
      </c>
      <c r="L76" s="61">
        <f>IF($P76="A",SUMIFS(L77:L$181,$A77:$A$181,LEFT($A76,$Q76)&amp;"*",$P77:$P$181,"R"),0)</f>
        <v>0</v>
      </c>
      <c r="M76" s="61">
        <f>IF($P76="A",SUMIFS(M77:M$181,$A77:$A$181,LEFT($A76,$Q76)&amp;"*",$P77:$P$181,"R"),0)</f>
        <v>0</v>
      </c>
      <c r="N76" s="61">
        <f>IF($P76="A",SUMIFS(N77:N$181,$A77:$A$181,LEFT($A76,$Q76)&amp;"*",$P77:$P$181,"R"),0)</f>
        <v>0</v>
      </c>
      <c r="O76" s="61">
        <f>IF($P76="A",SUMIFS(O77:O$181,$A77:$A$181,LEFT($A76,$Q76)&amp;"*",$P77:$P$181,"R"),0)</f>
        <v>0</v>
      </c>
      <c r="P76" s="41" t="str">
        <f t="shared" si="8"/>
        <v>R</v>
      </c>
      <c r="Q76" s="41">
        <f t="shared" si="9"/>
        <v>4</v>
      </c>
      <c r="R76" s="55" t="e">
        <f t="shared" si="10"/>
        <v>#VALUE!</v>
      </c>
      <c r="S76" s="56">
        <v>1</v>
      </c>
      <c r="T76" s="57">
        <v>2</v>
      </c>
      <c r="U76" s="6"/>
      <c r="V76" s="45" t="e">
        <f t="shared" si="11"/>
        <v>#VALUE!</v>
      </c>
      <c r="W76" s="46" t="e">
        <f t="shared" si="12"/>
        <v>#VALUE!</v>
      </c>
      <c r="X76" s="47" t="e">
        <f t="shared" si="13"/>
        <v>#VALUE!</v>
      </c>
      <c r="Y76" s="46" t="e">
        <f t="shared" si="14"/>
        <v>#VALUE!</v>
      </c>
      <c r="Z76" s="48" t="e">
        <f t="shared" si="15"/>
        <v>#VALUE!</v>
      </c>
      <c r="AA76" s="49" t="e">
        <f t="shared" si="16"/>
        <v>#VALUE!</v>
      </c>
      <c r="AB76" s="39"/>
      <c r="AC76" s="39"/>
      <c r="AD76" s="39"/>
      <c r="AE76" s="39"/>
      <c r="AF76" s="39"/>
      <c r="AG76" s="39"/>
    </row>
    <row r="77" spans="1:33" s="50" customFormat="1" ht="15.75" hidden="1" customHeight="1" x14ac:dyDescent="0.2">
      <c r="A77" s="51" t="s">
        <v>108</v>
      </c>
      <c r="B77" s="51"/>
      <c r="C77" s="52" t="str">
        <f>IFERROR(INDEX('[1]Balanza Egresos'!A$1:C$65536,MATCH(A77,'[1]Balanza Egresos'!A$1:A$65536,0),2),"SIN CUENTA")</f>
        <v>SIN CUENTA</v>
      </c>
      <c r="D77" s="53" t="e">
        <f>IF($P77="A",SUMIFS(D78:D$181,$A78:$A$181,LEFT($A77,$Q77)&amp;"*",$P78:$P$181,"R"),SUMIFS('[1]Balanza Egresos'!$F$1:$F$65536,'[1]Balanza Egresos'!$A$1:$A$65536,$A77))</f>
        <v>#VALUE!</v>
      </c>
      <c r="E77" s="53" t="e">
        <f>IF($P77="A",SUMIFS(E78:E$181,$A78:$A$181,LEFT($A77,$Q77)&amp;"*",$P78:$P$181,"R"),((H77/[1]Parametros!$E$12)*12)+$I77)</f>
        <v>#VALUE!</v>
      </c>
      <c r="F77" s="37">
        <f>IF($P77="A",SUMIFS(F78:F$181,$A78:$A$181,LEFT($A77,$Q77)&amp;"*",$P78:$P$181,"R"),K77+L77+M77+N77)</f>
        <v>0</v>
      </c>
      <c r="G77" s="62"/>
      <c r="H77" s="59" t="e">
        <f>IF($P77="A",SUMIFS(H78:H$181,$A78:$A$181,LEFT($A77,$Q77)&amp;"*",$P78:$P$181,"R"),SUMIFS('[1]Balanza Egresos'!$V$1:$V$65536,'[1]Balanza Egresos'!$A$1:$A$65536,$A77))</f>
        <v>#VALUE!</v>
      </c>
      <c r="I77" s="59"/>
      <c r="J77" s="39"/>
      <c r="K77" s="61">
        <f>IF($P77="A",SUMIFS(K78:K$181,$A78:$A$181,LEFT($A77,$Q77)&amp;"*",$P78:$P$181,"R"),0)</f>
        <v>0</v>
      </c>
      <c r="L77" s="61">
        <f>IF($P77="A",SUMIFS(L78:L$181,$A78:$A$181,LEFT($A77,$Q77)&amp;"*",$P78:$P$181,"R"),0)</f>
        <v>0</v>
      </c>
      <c r="M77" s="61">
        <f>IF($P77="A",SUMIFS(M78:M$181,$A78:$A$181,LEFT($A77,$Q77)&amp;"*",$P78:$P$181,"R"),0)</f>
        <v>0</v>
      </c>
      <c r="N77" s="61">
        <f>IF($P77="A",SUMIFS(N78:N$181,$A78:$A$181,LEFT($A77,$Q77)&amp;"*",$P78:$P$181,"R"),0)</f>
        <v>0</v>
      </c>
      <c r="O77" s="61">
        <f>IF($P77="A",SUMIFS(O78:O$181,$A78:$A$181,LEFT($A77,$Q77)&amp;"*",$P78:$P$181,"R"),0)</f>
        <v>0</v>
      </c>
      <c r="P77" s="41" t="str">
        <f t="shared" si="8"/>
        <v>A</v>
      </c>
      <c r="Q77" s="41">
        <f t="shared" si="9"/>
        <v>3</v>
      </c>
      <c r="R77" s="55" t="e">
        <f t="shared" si="10"/>
        <v>#VALUE!</v>
      </c>
      <c r="S77" s="56">
        <v>1</v>
      </c>
      <c r="T77" s="57" t="s">
        <v>23</v>
      </c>
      <c r="U77" s="6"/>
      <c r="V77" s="45" t="e">
        <f t="shared" si="11"/>
        <v>#VALUE!</v>
      </c>
      <c r="W77" s="46" t="e">
        <f t="shared" si="12"/>
        <v>#VALUE!</v>
      </c>
      <c r="X77" s="47" t="e">
        <f t="shared" si="13"/>
        <v>#VALUE!</v>
      </c>
      <c r="Y77" s="46" t="e">
        <f t="shared" si="14"/>
        <v>#VALUE!</v>
      </c>
      <c r="Z77" s="48" t="e">
        <f t="shared" si="15"/>
        <v>#VALUE!</v>
      </c>
      <c r="AA77" s="49" t="e">
        <f t="shared" si="16"/>
        <v>#VALUE!</v>
      </c>
      <c r="AB77" s="39"/>
      <c r="AC77" s="39"/>
      <c r="AD77" s="39"/>
      <c r="AE77" s="39"/>
      <c r="AF77" s="39"/>
      <c r="AG77" s="39"/>
    </row>
    <row r="78" spans="1:33" s="50" customFormat="1" ht="15.75" hidden="1" customHeight="1" x14ac:dyDescent="0.2">
      <c r="A78" s="51" t="s">
        <v>109</v>
      </c>
      <c r="B78" s="51"/>
      <c r="C78" s="52" t="str">
        <f>IFERROR(INDEX('[1]Balanza Egresos'!A$1:C$65536,MATCH(A78,'[1]Balanza Egresos'!A$1:A$65536,0),2),"SIN CUENTA")</f>
        <v>SIN CUENTA</v>
      </c>
      <c r="D78" s="53" t="e">
        <f>IF($P78="A",SUMIFS(D79:D$181,$A79:$A$181,LEFT($A78,$Q78)&amp;"*",$P79:$P$181,"R"),SUMIFS('[1]Balanza Egresos'!$F$1:$F$65536,'[1]Balanza Egresos'!$A$1:$A$65536,$A78))</f>
        <v>#VALUE!</v>
      </c>
      <c r="E78" s="53" t="e">
        <f>IF($P78="A",SUMIFS(E79:E$181,$A79:$A$181,LEFT($A78,$Q78)&amp;"*",$P79:$P$181,"R"),((H78/[1]Parametros!$E$12)*12)+$I78)</f>
        <v>#VALUE!</v>
      </c>
      <c r="F78" s="37">
        <f>IF($P78="A",SUMIFS(F79:F$181,$A79:$A$181,LEFT($A78,$Q78)&amp;"*",$P79:$P$181,"R"),K78+L78+M78+N78+O78)</f>
        <v>0</v>
      </c>
      <c r="G78" s="62"/>
      <c r="H78" s="53" t="e">
        <f>IF($P78="A",SUMIFS(H79:H$181,$A79:$A$181,LEFT($A78,$Q78)&amp;"*",$P79:$P$181,"R"),SUMIFS('[1]Balanza Egresos'!$V$1:$V$65536,'[1]Balanza Egresos'!$A$1:$A$65536,$A78))</f>
        <v>#VALUE!</v>
      </c>
      <c r="I78" s="53">
        <f>I79</f>
        <v>0</v>
      </c>
      <c r="J78" s="39"/>
      <c r="K78" s="61">
        <f>IF($P78="A",SUMIFS(K79:K$181,$A79:$A$181,LEFT($A78,$Q78)&amp;"*",$P79:$P$181,"R"),0)</f>
        <v>0</v>
      </c>
      <c r="L78" s="61">
        <f>IF($P78="A",SUMIFS(L79:L$181,$A79:$A$181,LEFT($A78,$Q78)&amp;"*",$P79:$P$181,"R"),0)</f>
        <v>0</v>
      </c>
      <c r="M78" s="61">
        <f>IF($P78="A",SUMIFS(M79:M$181,$A79:$A$181,LEFT($A78,$Q78)&amp;"*",$P79:$P$181,"R"),0)</f>
        <v>0</v>
      </c>
      <c r="N78" s="61">
        <f>IF($P78="A",SUMIFS(N79:N$181,$A79:$A$181,LEFT($A78,$Q78)&amp;"*",$P79:$P$181,"R"),0)</f>
        <v>0</v>
      </c>
      <c r="O78" s="61">
        <f>IF($P78="A",SUMIFS(O79:O$181,$A79:$A$181,LEFT($A78,$Q78)&amp;"*",$P79:$P$181,"R"),0)</f>
        <v>0</v>
      </c>
      <c r="P78" s="41" t="str">
        <f t="shared" ref="P78:P141" si="17">IF(RIGHT(A78,2)="00","A","R")</f>
        <v>R</v>
      </c>
      <c r="Q78" s="41">
        <f t="shared" si="9"/>
        <v>4</v>
      </c>
      <c r="R78" s="55" t="e">
        <f t="shared" si="10"/>
        <v>#VALUE!</v>
      </c>
      <c r="S78" s="56">
        <v>1</v>
      </c>
      <c r="T78" s="57" t="s">
        <v>23</v>
      </c>
      <c r="U78" s="6"/>
      <c r="V78" s="45" t="e">
        <f t="shared" si="11"/>
        <v>#VALUE!</v>
      </c>
      <c r="W78" s="46" t="e">
        <f t="shared" si="12"/>
        <v>#VALUE!</v>
      </c>
      <c r="X78" s="47" t="e">
        <f t="shared" si="13"/>
        <v>#VALUE!</v>
      </c>
      <c r="Y78" s="46" t="e">
        <f t="shared" si="14"/>
        <v>#VALUE!</v>
      </c>
      <c r="Z78" s="48" t="e">
        <f t="shared" si="15"/>
        <v>#VALUE!</v>
      </c>
      <c r="AA78" s="49" t="e">
        <f t="shared" si="16"/>
        <v>#VALUE!</v>
      </c>
      <c r="AB78" s="39"/>
      <c r="AC78" s="39"/>
      <c r="AD78" s="39"/>
      <c r="AE78" s="39"/>
      <c r="AF78" s="39"/>
      <c r="AG78" s="39"/>
    </row>
    <row r="79" spans="1:33" s="50" customFormat="1" ht="15.75" hidden="1" customHeight="1" x14ac:dyDescent="0.2">
      <c r="A79" s="51" t="s">
        <v>110</v>
      </c>
      <c r="B79" s="51"/>
      <c r="C79" s="52" t="str">
        <f>IFERROR(INDEX('[1]Balanza Egresos'!A$1:C$65536,MATCH(A79,'[1]Balanza Egresos'!A$1:A$65536,0),2),"SIN CUENTA")</f>
        <v>SIN CUENTA</v>
      </c>
      <c r="D79" s="53" t="e">
        <f>IF($P79="A",SUMIFS(D80:D$181,$A80:$A$181,LEFT($A79,$Q79)&amp;"*",$P80:$P$181,"R"),SUMIFS('[1]Balanza Egresos'!$F$1:$F$65536,'[1]Balanza Egresos'!$A$1:$A$65536,$A79))</f>
        <v>#VALUE!</v>
      </c>
      <c r="E79" s="53" t="e">
        <f>IF($P79="A",SUMIFS(E80:E$181,$A80:$A$181,LEFT($A79,$Q79)&amp;"*",$P80:$P$181,"R"),((H79/[1]Parametros!$E$12)*12)+$I79)</f>
        <v>#VALUE!</v>
      </c>
      <c r="F79" s="37">
        <f>IF($P79="A",SUMIFS(F80:F$181,$A80:$A$181,LEFT($A79,$Q79)&amp;"*",$P80:$P$181,"R"),K79+L79+M79+N79)</f>
        <v>0</v>
      </c>
      <c r="G79" s="62"/>
      <c r="H79" s="59" t="e">
        <f>IF($P79="A",SUMIFS(H80:H$181,$A80:$A$181,LEFT($A79,$Q79)&amp;"*",$P80:$P$181,"R"),SUMIFS('[1]Balanza Egresos'!$V$1:$V$65536,'[1]Balanza Egresos'!$A$1:$A$65536,$A79))</f>
        <v>#VALUE!</v>
      </c>
      <c r="I79" s="59"/>
      <c r="J79" s="39"/>
      <c r="K79" s="61">
        <f>IF($P79="A",SUMIFS(K80:K$181,$A80:$A$181,LEFT($A79,$Q79)&amp;"*",$P80:$P$181,"R"),0)</f>
        <v>0</v>
      </c>
      <c r="L79" s="61">
        <f>IF($P79="A",SUMIFS(L80:L$181,$A80:$A$181,LEFT($A79,$Q79)&amp;"*",$P80:$P$181,"R"),0)</f>
        <v>0</v>
      </c>
      <c r="M79" s="61">
        <f>IF($P79="A",SUMIFS(M80:M$181,$A80:$A$181,LEFT($A79,$Q79)&amp;"*",$P80:$P$181,"R"),0)</f>
        <v>0</v>
      </c>
      <c r="N79" s="61">
        <f>IF($P79="A",SUMIFS(N80:N$181,$A80:$A$181,LEFT($A79,$Q79)&amp;"*",$P80:$P$181,"R"),0)</f>
        <v>0</v>
      </c>
      <c r="O79" s="61">
        <f>IF($P79="A",SUMIFS(O80:O$181,$A80:$A$181,LEFT($A79,$Q79)&amp;"*",$P80:$P$181,"R"),0)</f>
        <v>0</v>
      </c>
      <c r="P79" s="41" t="str">
        <f t="shared" si="17"/>
        <v>A</v>
      </c>
      <c r="Q79" s="41">
        <f t="shared" si="9"/>
        <v>3</v>
      </c>
      <c r="R79" s="55" t="e">
        <f t="shared" si="10"/>
        <v>#VALUE!</v>
      </c>
      <c r="S79" s="56">
        <v>1</v>
      </c>
      <c r="T79" s="57">
        <v>2</v>
      </c>
      <c r="U79" s="6"/>
      <c r="V79" s="45" t="e">
        <f t="shared" si="11"/>
        <v>#VALUE!</v>
      </c>
      <c r="W79" s="46" t="e">
        <f t="shared" si="12"/>
        <v>#VALUE!</v>
      </c>
      <c r="X79" s="47" t="e">
        <f t="shared" si="13"/>
        <v>#VALUE!</v>
      </c>
      <c r="Y79" s="46" t="e">
        <f t="shared" si="14"/>
        <v>#VALUE!</v>
      </c>
      <c r="Z79" s="48" t="e">
        <f t="shared" si="15"/>
        <v>#VALUE!</v>
      </c>
      <c r="AA79" s="49" t="e">
        <f t="shared" si="16"/>
        <v>#VALUE!</v>
      </c>
      <c r="AB79" s="39"/>
      <c r="AC79" s="39"/>
      <c r="AD79" s="39"/>
      <c r="AE79" s="39"/>
      <c r="AF79" s="39"/>
      <c r="AG79" s="39"/>
    </row>
    <row r="80" spans="1:33" s="50" customFormat="1" ht="15" hidden="1" x14ac:dyDescent="0.2">
      <c r="A80" s="51" t="s">
        <v>111</v>
      </c>
      <c r="B80" s="51"/>
      <c r="C80" s="52" t="str">
        <f>IFERROR(INDEX('[1]Balanza Egresos'!A$1:C$65536,MATCH(A80,'[1]Balanza Egresos'!A$1:A$65536,0),2),"SIN CUENTA")</f>
        <v>SIN CUENTA</v>
      </c>
      <c r="D80" s="53" t="e">
        <f>IF($P80="A",SUMIFS(D81:D$181,$A81:$A$181,LEFT($A80,$Q80)&amp;"*",$P81:$P$181,"R"),SUMIFS('[1]Balanza Egresos'!$F$1:$F$65536,'[1]Balanza Egresos'!$A$1:$A$65536,$A80))</f>
        <v>#VALUE!</v>
      </c>
      <c r="E80" s="53" t="e">
        <f>IF($P80="A",SUMIFS(E81:E$181,$A81:$A$181,LEFT($A80,$Q80)&amp;"*",$P81:$P$181,"R"),((H80/[1]Parametros!$E$12)*12)+$I80)</f>
        <v>#VALUE!</v>
      </c>
      <c r="F80" s="37">
        <f>IF($P80="A",SUMIFS(F81:F$181,$A81:$A$181,LEFT($A80,$Q80)&amp;"*",$P81:$P$181,"R"),K80+L80+M80+N80+O80)</f>
        <v>0</v>
      </c>
      <c r="G80" s="62"/>
      <c r="H80" s="53" t="e">
        <f>IF($P80="A",SUMIFS(H81:H$181,$A81:$A$181,LEFT($A80,$Q80)&amp;"*",$P81:$P$181,"R"),SUMIFS('[1]Balanza Egresos'!$V$1:$V$65536,'[1]Balanza Egresos'!$A$1:$A$65536,$A80))</f>
        <v>#VALUE!</v>
      </c>
      <c r="I80" s="53">
        <f>I81</f>
        <v>0</v>
      </c>
      <c r="J80" s="39"/>
      <c r="K80" s="61">
        <f>IF($P80="A",SUMIFS(K81:K$181,$A81:$A$181,LEFT($A80,$Q80)&amp;"*",$P81:$P$181,"R"),0)</f>
        <v>0</v>
      </c>
      <c r="L80" s="61">
        <f>IF($P80="A",SUMIFS(L81:L$181,$A81:$A$181,LEFT($A80,$Q80)&amp;"*",$P81:$P$181,"R"),0)</f>
        <v>0</v>
      </c>
      <c r="M80" s="61">
        <f>IF($P80="A",SUMIFS(M81:M$181,$A81:$A$181,LEFT($A80,$Q80)&amp;"*",$P81:$P$181,"R"),0)</f>
        <v>0</v>
      </c>
      <c r="N80" s="61">
        <f>IF($P80="A",SUMIFS(N81:N$181,$A81:$A$181,LEFT($A80,$Q80)&amp;"*",$P81:$P$181,"R"),0)</f>
        <v>0</v>
      </c>
      <c r="O80" s="61">
        <f>IF($P80="A",SUMIFS(O81:O$181,$A81:$A$181,LEFT($A80,$Q80)&amp;"*",$P81:$P$181,"R"),0)</f>
        <v>0</v>
      </c>
      <c r="P80" s="41" t="str">
        <f t="shared" si="17"/>
        <v>R</v>
      </c>
      <c r="Q80" s="41">
        <f t="shared" si="9"/>
        <v>4</v>
      </c>
      <c r="R80" s="55" t="e">
        <f t="shared" si="10"/>
        <v>#VALUE!</v>
      </c>
      <c r="S80" s="56">
        <v>1</v>
      </c>
      <c r="T80" s="57" t="s">
        <v>23</v>
      </c>
      <c r="U80" s="6"/>
      <c r="V80" s="45" t="e">
        <f t="shared" si="11"/>
        <v>#VALUE!</v>
      </c>
      <c r="W80" s="46" t="e">
        <f t="shared" si="12"/>
        <v>#VALUE!</v>
      </c>
      <c r="X80" s="47" t="e">
        <f t="shared" si="13"/>
        <v>#VALUE!</v>
      </c>
      <c r="Y80" s="46" t="e">
        <f t="shared" si="14"/>
        <v>#VALUE!</v>
      </c>
      <c r="Z80" s="48" t="e">
        <f t="shared" si="15"/>
        <v>#VALUE!</v>
      </c>
      <c r="AA80" s="49" t="e">
        <f t="shared" si="16"/>
        <v>#VALUE!</v>
      </c>
      <c r="AB80" s="39"/>
      <c r="AC80" s="39"/>
      <c r="AD80" s="39"/>
      <c r="AE80" s="39"/>
      <c r="AF80" s="39"/>
      <c r="AG80" s="39"/>
    </row>
    <row r="81" spans="1:33" s="50" customFormat="1" ht="15" hidden="1" x14ac:dyDescent="0.2">
      <c r="A81" s="51" t="s">
        <v>112</v>
      </c>
      <c r="B81" s="51"/>
      <c r="C81" s="52" t="str">
        <f>IFERROR(INDEX('[1]Balanza Egresos'!A$1:C$65536,MATCH(A81,'[1]Balanza Egresos'!A$1:A$65536,0),2),"SIN CUENTA")</f>
        <v>SIN CUENTA</v>
      </c>
      <c r="D81" s="53" t="e">
        <f>IF($P81="A",SUMIFS(D82:D$181,$A82:$A$181,LEFT($A81,$Q81)&amp;"*",$P82:$P$181,"R"),SUMIFS('[1]Balanza Egresos'!$F$1:$F$65536,'[1]Balanza Egresos'!$A$1:$A$65536,$A81))</f>
        <v>#VALUE!</v>
      </c>
      <c r="E81" s="53" t="e">
        <f>IF($P81="A",SUMIFS(E82:E$181,$A82:$A$181,LEFT($A81,$Q81)&amp;"*",$P82:$P$181,"R"),((H81/[1]Parametros!$E$12)*12)+$I81)</f>
        <v>#VALUE!</v>
      </c>
      <c r="F81" s="37">
        <f>IF($P81="A",SUMIFS(F82:F$181,$A82:$A$181,LEFT($A81,$Q81)&amp;"*",$P82:$P$181,"R"),K81+L81+M81+N81)</f>
        <v>0</v>
      </c>
      <c r="G81" s="62"/>
      <c r="H81" s="59" t="e">
        <f>IF($P81="A",SUMIFS(H82:H$181,$A82:$A$181,LEFT($A81,$Q81)&amp;"*",$P82:$P$181,"R"),SUMIFS('[1]Balanza Egresos'!$V$1:$V$65536,'[1]Balanza Egresos'!$A$1:$A$65536,$A81))</f>
        <v>#VALUE!</v>
      </c>
      <c r="I81" s="59"/>
      <c r="J81" s="39"/>
      <c r="K81" s="61">
        <f>IF($P81="A",SUMIFS(K82:K$181,$A82:$A$181,LEFT($A81,$Q81)&amp;"*",$P82:$P$181,"R"),0)</f>
        <v>0</v>
      </c>
      <c r="L81" s="61">
        <f>IF($P81="A",SUMIFS(L82:L$181,$A82:$A$181,LEFT($A81,$Q81)&amp;"*",$P82:$P$181,"R"),0)</f>
        <v>0</v>
      </c>
      <c r="M81" s="61">
        <f>IF($P81="A",SUMIFS(M82:M$181,$A82:$A$181,LEFT($A81,$Q81)&amp;"*",$P82:$P$181,"R"),0)</f>
        <v>0</v>
      </c>
      <c r="N81" s="61">
        <f>IF($P81="A",SUMIFS(N82:N$181,$A82:$A$181,LEFT($A81,$Q81)&amp;"*",$P82:$P$181,"R"),0)</f>
        <v>0</v>
      </c>
      <c r="O81" s="61">
        <f>IF($P81="A",SUMIFS(O82:O$181,$A82:$A$181,LEFT($A81,$Q81)&amp;"*",$P82:$P$181,"R"),0)</f>
        <v>0</v>
      </c>
      <c r="P81" s="41" t="str">
        <f t="shared" si="17"/>
        <v>A</v>
      </c>
      <c r="Q81" s="41">
        <f t="shared" si="9"/>
        <v>3</v>
      </c>
      <c r="R81" s="55" t="e">
        <f t="shared" si="10"/>
        <v>#VALUE!</v>
      </c>
      <c r="S81" s="56">
        <v>1</v>
      </c>
      <c r="T81" s="57">
        <v>2</v>
      </c>
      <c r="U81" s="6"/>
      <c r="V81" s="45" t="e">
        <f t="shared" si="11"/>
        <v>#VALUE!</v>
      </c>
      <c r="W81" s="46" t="e">
        <f t="shared" si="12"/>
        <v>#VALUE!</v>
      </c>
      <c r="X81" s="47" t="e">
        <f t="shared" si="13"/>
        <v>#VALUE!</v>
      </c>
      <c r="Y81" s="46" t="e">
        <f t="shared" si="14"/>
        <v>#VALUE!</v>
      </c>
      <c r="Z81" s="48" t="e">
        <f t="shared" si="15"/>
        <v>#VALUE!</v>
      </c>
      <c r="AA81" s="49" t="e">
        <f t="shared" si="16"/>
        <v>#VALUE!</v>
      </c>
      <c r="AB81" s="39"/>
      <c r="AC81" s="39"/>
      <c r="AD81" s="39"/>
      <c r="AE81" s="39"/>
      <c r="AF81" s="39"/>
      <c r="AG81" s="39"/>
    </row>
    <row r="82" spans="1:33" s="50" customFormat="1" ht="15.75" hidden="1" customHeight="1" x14ac:dyDescent="0.2">
      <c r="A82" s="51" t="s">
        <v>113</v>
      </c>
      <c r="B82" s="51"/>
      <c r="C82" s="52" t="str">
        <f>IFERROR(INDEX('[1]Balanza Egresos'!A$1:C$65536,MATCH(A82,'[1]Balanza Egresos'!A$1:A$65536,0),2),"SIN CUENTA")</f>
        <v>SIN CUENTA</v>
      </c>
      <c r="D82" s="53" t="e">
        <f>IF($P82="A",SUMIFS(D83:D$181,$A83:$A$181,LEFT($A82,$Q82)&amp;"*",$P83:$P$181,"R"),SUMIFS('[1]Balanza Egresos'!$F$1:$F$65536,'[1]Balanza Egresos'!$A$1:$A$65536,$A82))</f>
        <v>#VALUE!</v>
      </c>
      <c r="E82" s="53" t="e">
        <f>IF($P82="A",SUMIFS(E83:E$181,$A83:$A$181,LEFT($A82,$Q82)&amp;"*",$P83:$P$181,"R"),((H82/[1]Parametros!$E$12)*12)+$I82)</f>
        <v>#VALUE!</v>
      </c>
      <c r="F82" s="37">
        <f>IF($P82="A",SUMIFS(F83:F$181,$A83:$A$181,LEFT($A82,$Q82)&amp;"*",$P83:$P$181,"R"),K82+L82+M82+N82+O82)</f>
        <v>0</v>
      </c>
      <c r="G82" s="62"/>
      <c r="H82" s="59" t="e">
        <f>IF($P82="A",SUMIFS(H83:H$181,$A83:$A$181,LEFT($A82,$Q82)&amp;"*",$P83:$P$181,"R"),SUMIFS('[1]Balanza Egresos'!$V$1:$V$65536,'[1]Balanza Egresos'!$A$1:$A$65536,$A82))</f>
        <v>#VALUE!</v>
      </c>
      <c r="I82" s="59"/>
      <c r="J82" s="39"/>
      <c r="K82" s="61">
        <f>IF($P82="A",SUMIFS(K83:K$181,$A83:$A$181,LEFT($A82,$Q82)&amp;"*",$P83:$P$181,"R"),0)</f>
        <v>0</v>
      </c>
      <c r="L82" s="61">
        <f>IF($P82="A",SUMIFS(L83:L$181,$A83:$A$181,LEFT($A82,$Q82)&amp;"*",$P83:$P$181,"R"),0)</f>
        <v>0</v>
      </c>
      <c r="M82" s="61">
        <f>IF($P82="A",SUMIFS(M83:M$181,$A83:$A$181,LEFT($A82,$Q82)&amp;"*",$P83:$P$181,"R"),0)</f>
        <v>0</v>
      </c>
      <c r="N82" s="61">
        <f>IF($P82="A",SUMIFS(N83:N$181,$A83:$A$181,LEFT($A82,$Q82)&amp;"*",$P83:$P$181,"R"),0)</f>
        <v>0</v>
      </c>
      <c r="O82" s="61">
        <f>IF($P82="A",SUMIFS(O83:O$181,$A83:$A$181,LEFT($A82,$Q82)&amp;"*",$P83:$P$181,"R"),0)</f>
        <v>0</v>
      </c>
      <c r="P82" s="41" t="str">
        <f t="shared" si="17"/>
        <v>R</v>
      </c>
      <c r="Q82" s="41">
        <f t="shared" si="9"/>
        <v>4</v>
      </c>
      <c r="R82" s="55" t="e">
        <f t="shared" si="10"/>
        <v>#VALUE!</v>
      </c>
      <c r="S82" s="56">
        <v>1</v>
      </c>
      <c r="T82" s="57">
        <v>2</v>
      </c>
      <c r="U82" s="6"/>
      <c r="V82" s="45" t="e">
        <f t="shared" si="11"/>
        <v>#VALUE!</v>
      </c>
      <c r="W82" s="46" t="e">
        <f t="shared" si="12"/>
        <v>#VALUE!</v>
      </c>
      <c r="X82" s="47" t="e">
        <f t="shared" si="13"/>
        <v>#VALUE!</v>
      </c>
      <c r="Y82" s="46" t="e">
        <f t="shared" si="14"/>
        <v>#VALUE!</v>
      </c>
      <c r="Z82" s="48" t="e">
        <f t="shared" si="15"/>
        <v>#VALUE!</v>
      </c>
      <c r="AA82" s="49" t="e">
        <f t="shared" si="16"/>
        <v>#VALUE!</v>
      </c>
      <c r="AB82" s="39"/>
      <c r="AC82" s="39"/>
      <c r="AD82" s="39"/>
      <c r="AE82" s="39"/>
      <c r="AF82" s="39"/>
      <c r="AG82" s="39"/>
    </row>
    <row r="83" spans="1:33" s="50" customFormat="1" ht="15.75" hidden="1" customHeight="1" x14ac:dyDescent="0.2">
      <c r="A83" s="51" t="s">
        <v>114</v>
      </c>
      <c r="B83" s="51"/>
      <c r="C83" s="52" t="str">
        <f>IFERROR(INDEX('[1]Balanza Egresos'!A$1:C$65536,MATCH(A83,'[1]Balanza Egresos'!A$1:A$65536,0),2),"SIN CUENTA")</f>
        <v>SIN CUENTA</v>
      </c>
      <c r="D83" s="53" t="e">
        <f>IF($P83="A",SUMIFS(D84:D$181,$A84:$A$181,LEFT($A83,$Q83)&amp;"*",$P84:$P$181,"R"),SUMIFS('[1]Balanza Egresos'!$F$1:$F$65536,'[1]Balanza Egresos'!$A$1:$A$65536,$A83))</f>
        <v>#VALUE!</v>
      </c>
      <c r="E83" s="53" t="e">
        <f>IF($P83="A",SUMIFS(E84:E$181,$A84:$A$181,LEFT($A83,$Q83)&amp;"*",$P84:$P$181,"R"),((H83/[1]Parametros!$E$12)*12)+$I83)</f>
        <v>#VALUE!</v>
      </c>
      <c r="F83" s="37">
        <f>IF($P83="A",SUMIFS(F84:F$181,$A84:$A$181,LEFT($A83,$Q83)&amp;"*",$P84:$P$181,"R"),K83+L83+M83+N83)</f>
        <v>0</v>
      </c>
      <c r="G83" s="62"/>
      <c r="H83" s="53" t="e">
        <f>IF($P83="A",SUMIFS(H84:H$181,$A84:$A$181,LEFT($A83,$Q83)&amp;"*",$P84:$P$181,"R"),SUMIFS('[1]Balanza Egresos'!$V$1:$V$65536,'[1]Balanza Egresos'!$A$1:$A$65536,$A83))</f>
        <v>#VALUE!</v>
      </c>
      <c r="I83" s="53">
        <f>SUM(I84:I89)</f>
        <v>0</v>
      </c>
      <c r="J83" s="39"/>
      <c r="K83" s="61">
        <f>IF($P83="A",SUMIFS(K84:K$181,$A84:$A$181,LEFT($A83,$Q83)&amp;"*",$P84:$P$181,"R"),0)</f>
        <v>0</v>
      </c>
      <c r="L83" s="61">
        <f>IF($P83="A",SUMIFS(L84:L$181,$A84:$A$181,LEFT($A83,$Q83)&amp;"*",$P84:$P$181,"R"),0)</f>
        <v>0</v>
      </c>
      <c r="M83" s="61">
        <f>IF($P83="A",SUMIFS(M84:M$181,$A84:$A$181,LEFT($A83,$Q83)&amp;"*",$P84:$P$181,"R"),0)</f>
        <v>0</v>
      </c>
      <c r="N83" s="61">
        <f>IF($P83="A",SUMIFS(N84:N$181,$A84:$A$181,LEFT($A83,$Q83)&amp;"*",$P84:$P$181,"R"),0)</f>
        <v>0</v>
      </c>
      <c r="O83" s="61">
        <f>IF($P83="A",SUMIFS(O84:O$181,$A84:$A$181,LEFT($A83,$Q83)&amp;"*",$P84:$P$181,"R"),0)</f>
        <v>0</v>
      </c>
      <c r="P83" s="41" t="str">
        <f t="shared" si="17"/>
        <v>A</v>
      </c>
      <c r="Q83" s="41">
        <f t="shared" si="9"/>
        <v>3</v>
      </c>
      <c r="R83" s="55" t="e">
        <f t="shared" si="10"/>
        <v>#VALUE!</v>
      </c>
      <c r="S83" s="56">
        <v>1</v>
      </c>
      <c r="T83" s="57" t="s">
        <v>23</v>
      </c>
      <c r="U83" s="6"/>
      <c r="V83" s="45" t="e">
        <f t="shared" si="11"/>
        <v>#VALUE!</v>
      </c>
      <c r="W83" s="46" t="e">
        <f t="shared" si="12"/>
        <v>#VALUE!</v>
      </c>
      <c r="X83" s="47" t="e">
        <f t="shared" si="13"/>
        <v>#VALUE!</v>
      </c>
      <c r="Y83" s="46" t="e">
        <f t="shared" si="14"/>
        <v>#VALUE!</v>
      </c>
      <c r="Z83" s="48" t="e">
        <f t="shared" si="15"/>
        <v>#VALUE!</v>
      </c>
      <c r="AA83" s="49" t="e">
        <f t="shared" si="16"/>
        <v>#VALUE!</v>
      </c>
      <c r="AB83" s="39"/>
      <c r="AC83" s="39"/>
      <c r="AD83" s="39"/>
      <c r="AE83" s="39"/>
      <c r="AF83" s="39"/>
      <c r="AG83" s="39"/>
    </row>
    <row r="84" spans="1:33" s="50" customFormat="1" ht="15" hidden="1" x14ac:dyDescent="0.2">
      <c r="A84" s="51" t="s">
        <v>115</v>
      </c>
      <c r="B84" s="51"/>
      <c r="C84" s="52" t="str">
        <f>IFERROR(INDEX('[1]Balanza Egresos'!A$1:C$65536,MATCH(A84,'[1]Balanza Egresos'!A$1:A$65536,0),2),"SIN CUENTA")</f>
        <v>SIN CUENTA</v>
      </c>
      <c r="D84" s="53" t="e">
        <f>IF($P84="A",SUMIFS(D85:D$181,$A85:$A$181,LEFT($A84,$Q84)&amp;"*",$P85:$P$181,"R"),SUMIFS('[1]Balanza Egresos'!$F$1:$F$65536,'[1]Balanza Egresos'!$A$1:$A$65536,$A84))</f>
        <v>#VALUE!</v>
      </c>
      <c r="E84" s="53" t="e">
        <f>IF($P84="A",SUMIFS(E85:E$181,$A85:$A$181,LEFT($A84,$Q84)&amp;"*",$P85:$P$181,"R"),((H84/[1]Parametros!$E$12)*12)+$I84)</f>
        <v>#VALUE!</v>
      </c>
      <c r="F84" s="37">
        <f>IF($P84="A",SUMIFS(F85:F$181,$A85:$A$181,LEFT($A84,$Q84)&amp;"*",$P85:$P$181,"R"),K84+L84+M84+N84+O84)</f>
        <v>0</v>
      </c>
      <c r="G84" s="62"/>
      <c r="H84" s="59" t="e">
        <f>IF($P84="A",SUMIFS(H85:H$181,$A85:$A$181,LEFT($A84,$Q84)&amp;"*",$P85:$P$181,"R"),SUMIFS('[1]Balanza Egresos'!$V$1:$V$65536,'[1]Balanza Egresos'!$A$1:$A$65536,$A84))</f>
        <v>#VALUE!</v>
      </c>
      <c r="I84" s="59"/>
      <c r="J84" s="39"/>
      <c r="K84" s="61">
        <f>IF($P84="A",SUMIFS(K85:K$181,$A85:$A$181,LEFT($A84,$Q84)&amp;"*",$P85:$P$181,"R"),0)</f>
        <v>0</v>
      </c>
      <c r="L84" s="61">
        <f>IF($P84="A",SUMIFS(L85:L$181,$A85:$A$181,LEFT($A84,$Q84)&amp;"*",$P85:$P$181,"R"),0)</f>
        <v>0</v>
      </c>
      <c r="M84" s="61">
        <f>IF($P84="A",SUMIFS(M85:M$181,$A85:$A$181,LEFT($A84,$Q84)&amp;"*",$P85:$P$181,"R"),0)</f>
        <v>0</v>
      </c>
      <c r="N84" s="61">
        <f>IF($P84="A",SUMIFS(N85:N$181,$A85:$A$181,LEFT($A84,$Q84)&amp;"*",$P85:$P$181,"R"),0)</f>
        <v>0</v>
      </c>
      <c r="O84" s="61">
        <f>IF($P84="A",SUMIFS(O85:O$181,$A85:$A$181,LEFT($A84,$Q84)&amp;"*",$P85:$P$181,"R"),0)</f>
        <v>0</v>
      </c>
      <c r="P84" s="41" t="str">
        <f t="shared" si="17"/>
        <v>R</v>
      </c>
      <c r="Q84" s="41">
        <f t="shared" si="9"/>
        <v>4</v>
      </c>
      <c r="R84" s="55" t="e">
        <f t="shared" si="10"/>
        <v>#VALUE!</v>
      </c>
      <c r="S84" s="56">
        <v>1</v>
      </c>
      <c r="T84" s="57">
        <v>2</v>
      </c>
      <c r="U84" s="6"/>
      <c r="V84" s="45" t="e">
        <f t="shared" si="11"/>
        <v>#VALUE!</v>
      </c>
      <c r="W84" s="46" t="e">
        <f t="shared" si="12"/>
        <v>#VALUE!</v>
      </c>
      <c r="X84" s="47" t="e">
        <f t="shared" si="13"/>
        <v>#VALUE!</v>
      </c>
      <c r="Y84" s="46" t="e">
        <f t="shared" si="14"/>
        <v>#VALUE!</v>
      </c>
      <c r="Z84" s="48" t="e">
        <f t="shared" si="15"/>
        <v>#VALUE!</v>
      </c>
      <c r="AA84" s="49" t="e">
        <f t="shared" si="16"/>
        <v>#VALUE!</v>
      </c>
      <c r="AB84" s="39"/>
      <c r="AC84" s="39"/>
      <c r="AD84" s="39"/>
      <c r="AE84" s="39"/>
      <c r="AF84" s="39"/>
      <c r="AG84" s="39"/>
    </row>
    <row r="85" spans="1:33" s="50" customFormat="1" ht="15.75" hidden="1" customHeight="1" x14ac:dyDescent="0.2">
      <c r="A85" s="51" t="s">
        <v>116</v>
      </c>
      <c r="B85" s="51"/>
      <c r="C85" s="52" t="str">
        <f>IFERROR(INDEX('[1]Balanza Egresos'!A$1:C$65536,MATCH(A85,'[1]Balanza Egresos'!A$1:A$65536,0),2),"SIN CUENTA")</f>
        <v>SIN CUENTA</v>
      </c>
      <c r="D85" s="53" t="e">
        <f>IF($P85="A",SUMIFS(D86:D$181,$A86:$A$181,LEFT($A85,$Q85)&amp;"*",$P86:$P$181,"R"),SUMIFS('[1]Balanza Egresos'!$F$1:$F$65536,'[1]Balanza Egresos'!$A$1:$A$65536,$A85))</f>
        <v>#VALUE!</v>
      </c>
      <c r="E85" s="53" t="e">
        <f>IF($P85="A",SUMIFS(E86:E$181,$A86:$A$181,LEFT($A85,$Q85)&amp;"*",$P86:$P$181,"R"),((H85/[1]Parametros!$E$12)*12)+$I85)</f>
        <v>#VALUE!</v>
      </c>
      <c r="F85" s="37">
        <f>IF($P85="A",SUMIFS(F86:F$181,$A86:$A$181,LEFT($A85,$Q85)&amp;"*",$P86:$P$181,"R"),K85+L85+M85+N85)</f>
        <v>0</v>
      </c>
      <c r="G85" s="62"/>
      <c r="H85" s="59" t="e">
        <f>IF($P85="A",SUMIFS(H86:H$181,$A86:$A$181,LEFT($A85,$Q85)&amp;"*",$P86:$P$181,"R"),SUMIFS('[1]Balanza Egresos'!$V$1:$V$65536,'[1]Balanza Egresos'!$A$1:$A$65536,$A85))</f>
        <v>#VALUE!</v>
      </c>
      <c r="I85" s="59"/>
      <c r="J85" s="39"/>
      <c r="K85" s="61">
        <f>IF($P85="A",SUMIFS(K86:K$181,$A86:$A$181,LEFT($A85,$Q85)&amp;"*",$P86:$P$181,"R"),0)</f>
        <v>0</v>
      </c>
      <c r="L85" s="61">
        <f>IF($P85="A",SUMIFS(L86:L$181,$A86:$A$181,LEFT($A85,$Q85)&amp;"*",$P86:$P$181,"R"),0)</f>
        <v>0</v>
      </c>
      <c r="M85" s="61">
        <f>IF($P85="A",SUMIFS(M86:M$181,$A86:$A$181,LEFT($A85,$Q85)&amp;"*",$P86:$P$181,"R"),0)</f>
        <v>0</v>
      </c>
      <c r="N85" s="61">
        <f>IF($P85="A",SUMIFS(N86:N$181,$A86:$A$181,LEFT($A85,$Q85)&amp;"*",$P86:$P$181,"R"),0)</f>
        <v>0</v>
      </c>
      <c r="O85" s="61">
        <f>IF($P85="A",SUMIFS(O86:O$181,$A86:$A$181,LEFT($A85,$Q85)&amp;"*",$P86:$P$181,"R"),0)</f>
        <v>0</v>
      </c>
      <c r="P85" s="41" t="str">
        <f t="shared" si="17"/>
        <v>A</v>
      </c>
      <c r="Q85" s="41">
        <f t="shared" si="9"/>
        <v>3</v>
      </c>
      <c r="R85" s="55" t="e">
        <f t="shared" si="10"/>
        <v>#VALUE!</v>
      </c>
      <c r="S85" s="56">
        <v>1</v>
      </c>
      <c r="T85" s="57">
        <v>2</v>
      </c>
      <c r="U85" s="6"/>
      <c r="V85" s="45" t="e">
        <f t="shared" si="11"/>
        <v>#VALUE!</v>
      </c>
      <c r="W85" s="46" t="e">
        <f t="shared" si="12"/>
        <v>#VALUE!</v>
      </c>
      <c r="X85" s="47" t="e">
        <f t="shared" si="13"/>
        <v>#VALUE!</v>
      </c>
      <c r="Y85" s="46" t="e">
        <f t="shared" si="14"/>
        <v>#VALUE!</v>
      </c>
      <c r="Z85" s="48" t="e">
        <f t="shared" si="15"/>
        <v>#VALUE!</v>
      </c>
      <c r="AA85" s="49" t="e">
        <f t="shared" si="16"/>
        <v>#VALUE!</v>
      </c>
      <c r="AB85" s="39"/>
      <c r="AC85" s="39"/>
      <c r="AD85" s="39"/>
      <c r="AE85" s="39"/>
      <c r="AF85" s="39"/>
      <c r="AG85" s="39"/>
    </row>
    <row r="86" spans="1:33" s="50" customFormat="1" ht="15.75" hidden="1" customHeight="1" x14ac:dyDescent="0.2">
      <c r="A86" s="51" t="s">
        <v>117</v>
      </c>
      <c r="B86" s="51"/>
      <c r="C86" s="52" t="str">
        <f>IFERROR(INDEX('[1]Balanza Egresos'!A$1:C$65536,MATCH(A86,'[1]Balanza Egresos'!A$1:A$65536,0),2),"SIN CUENTA")</f>
        <v>SIN CUENTA</v>
      </c>
      <c r="D86" s="53" t="e">
        <f>IF($P86="A",SUMIFS(D87:D$181,$A87:$A$181,LEFT($A86,$Q86)&amp;"*",$P87:$P$181,"R"),SUMIFS('[1]Balanza Egresos'!$F$1:$F$65536,'[1]Balanza Egresos'!$A$1:$A$65536,$A86))</f>
        <v>#VALUE!</v>
      </c>
      <c r="E86" s="53" t="e">
        <f>IF($P86="A",SUMIFS(E87:E$181,$A87:$A$181,LEFT($A86,$Q86)&amp;"*",$P87:$P$181,"R"),((H86/[1]Parametros!$E$12)*12)+$I86)</f>
        <v>#VALUE!</v>
      </c>
      <c r="F86" s="37">
        <f>IF($P86="A",SUMIFS(F87:F$181,$A87:$A$181,LEFT($A86,$Q86)&amp;"*",$P87:$P$181,"R"),K86+L86+M86+N86+O86)</f>
        <v>0</v>
      </c>
      <c r="G86" s="62"/>
      <c r="H86" s="59" t="e">
        <f>IF($P86="A",SUMIFS(H87:H$181,$A87:$A$181,LEFT($A86,$Q86)&amp;"*",$P87:$P$181,"R"),SUMIFS('[1]Balanza Egresos'!$V$1:$V$65536,'[1]Balanza Egresos'!$A$1:$A$65536,$A86))</f>
        <v>#VALUE!</v>
      </c>
      <c r="I86" s="59"/>
      <c r="J86" s="39"/>
      <c r="K86" s="61">
        <f>IF($P86="A",SUMIFS(K87:K$181,$A87:$A$181,LEFT($A86,$Q86)&amp;"*",$P87:$P$181,"R"),0)</f>
        <v>0</v>
      </c>
      <c r="L86" s="61">
        <f>IF($P86="A",SUMIFS(L87:L$181,$A87:$A$181,LEFT($A86,$Q86)&amp;"*",$P87:$P$181,"R"),0)</f>
        <v>0</v>
      </c>
      <c r="M86" s="61">
        <f>IF($P86="A",SUMIFS(M87:M$181,$A87:$A$181,LEFT($A86,$Q86)&amp;"*",$P87:$P$181,"R"),0)</f>
        <v>0</v>
      </c>
      <c r="N86" s="61">
        <f>IF($P86="A",SUMIFS(N87:N$181,$A87:$A$181,LEFT($A86,$Q86)&amp;"*",$P87:$P$181,"R"),0)</f>
        <v>0</v>
      </c>
      <c r="O86" s="61">
        <f>IF($P86="A",SUMIFS(O87:O$181,$A87:$A$181,LEFT($A86,$Q86)&amp;"*",$P87:$P$181,"R"),0)</f>
        <v>0</v>
      </c>
      <c r="P86" s="41" t="str">
        <f t="shared" si="17"/>
        <v>R</v>
      </c>
      <c r="Q86" s="41">
        <f t="shared" si="9"/>
        <v>4</v>
      </c>
      <c r="R86" s="55" t="e">
        <f t="shared" si="10"/>
        <v>#VALUE!</v>
      </c>
      <c r="S86" s="56">
        <v>1</v>
      </c>
      <c r="T86" s="57">
        <v>2</v>
      </c>
      <c r="U86" s="6"/>
      <c r="V86" s="45" t="e">
        <f t="shared" si="11"/>
        <v>#VALUE!</v>
      </c>
      <c r="W86" s="46" t="e">
        <f t="shared" si="12"/>
        <v>#VALUE!</v>
      </c>
      <c r="X86" s="47" t="e">
        <f t="shared" si="13"/>
        <v>#VALUE!</v>
      </c>
      <c r="Y86" s="46" t="e">
        <f t="shared" si="14"/>
        <v>#VALUE!</v>
      </c>
      <c r="Z86" s="48" t="e">
        <f t="shared" si="15"/>
        <v>#VALUE!</v>
      </c>
      <c r="AA86" s="49" t="e">
        <f t="shared" si="16"/>
        <v>#VALUE!</v>
      </c>
      <c r="AB86" s="39"/>
      <c r="AC86" s="39"/>
      <c r="AD86" s="39"/>
      <c r="AE86" s="39"/>
      <c r="AF86" s="39"/>
      <c r="AG86" s="39"/>
    </row>
    <row r="87" spans="1:33" s="50" customFormat="1" ht="15" hidden="1" x14ac:dyDescent="0.2">
      <c r="A87" s="51" t="s">
        <v>118</v>
      </c>
      <c r="B87" s="51"/>
      <c r="C87" s="52" t="str">
        <f>IFERROR(INDEX('[1]Balanza Egresos'!A$1:C$65536,MATCH(A87,'[1]Balanza Egresos'!A$1:A$65536,0),2),"SIN CUENTA")</f>
        <v>SIN CUENTA</v>
      </c>
      <c r="D87" s="53" t="e">
        <f>IF($P87="A",SUMIFS(D88:D$181,$A88:$A$181,LEFT($A87,$Q87)&amp;"*",$P88:$P$181,"R"),SUMIFS('[1]Balanza Egresos'!$F$1:$F$65536,'[1]Balanza Egresos'!$A$1:$A$65536,$A87))</f>
        <v>#VALUE!</v>
      </c>
      <c r="E87" s="53" t="e">
        <f>IF($P87="A",SUMIFS(E88:E$181,$A88:$A$181,LEFT($A87,$Q87)&amp;"*",$P88:$P$181,"R"),((H87/[1]Parametros!$E$12)*12)+$I87)</f>
        <v>#VALUE!</v>
      </c>
      <c r="F87" s="37">
        <f>IF($P87="A",SUMIFS(F88:F$181,$A88:$A$181,LEFT($A87,$Q87)&amp;"*",$P88:$P$181,"R"),K87+L87+M87+N87)</f>
        <v>0</v>
      </c>
      <c r="G87" s="62"/>
      <c r="H87" s="59" t="e">
        <f>IF($P87="A",SUMIFS(H88:H$181,$A88:$A$181,LEFT($A87,$Q87)&amp;"*",$P88:$P$181,"R"),SUMIFS('[1]Balanza Egresos'!$V$1:$V$65536,'[1]Balanza Egresos'!$A$1:$A$65536,$A87))</f>
        <v>#VALUE!</v>
      </c>
      <c r="I87" s="59"/>
      <c r="J87" s="39"/>
      <c r="K87" s="61">
        <f>IF($P87="A",SUMIFS(K88:K$181,$A88:$A$181,LEFT($A87,$Q87)&amp;"*",$P88:$P$181,"R"),0)</f>
        <v>0</v>
      </c>
      <c r="L87" s="61">
        <f>IF($P87="A",SUMIFS(L88:L$181,$A88:$A$181,LEFT($A87,$Q87)&amp;"*",$P88:$P$181,"R"),0)</f>
        <v>0</v>
      </c>
      <c r="M87" s="61">
        <f>IF($P87="A",SUMIFS(M88:M$181,$A88:$A$181,LEFT($A87,$Q87)&amp;"*",$P88:$P$181,"R"),0)</f>
        <v>0</v>
      </c>
      <c r="N87" s="61">
        <f>IF($P87="A",SUMIFS(N88:N$181,$A88:$A$181,LEFT($A87,$Q87)&amp;"*",$P88:$P$181,"R"),0)</f>
        <v>0</v>
      </c>
      <c r="O87" s="61">
        <f>IF($P87="A",SUMIFS(O88:O$181,$A88:$A$181,LEFT($A87,$Q87)&amp;"*",$P88:$P$181,"R"),0)</f>
        <v>0</v>
      </c>
      <c r="P87" s="41" t="str">
        <f t="shared" si="17"/>
        <v>A</v>
      </c>
      <c r="Q87" s="41">
        <f t="shared" si="9"/>
        <v>3</v>
      </c>
      <c r="R87" s="55" t="e">
        <f t="shared" si="10"/>
        <v>#VALUE!</v>
      </c>
      <c r="S87" s="56">
        <v>1</v>
      </c>
      <c r="T87" s="57">
        <v>2</v>
      </c>
      <c r="U87" s="6"/>
      <c r="V87" s="45" t="e">
        <f t="shared" si="11"/>
        <v>#VALUE!</v>
      </c>
      <c r="W87" s="46" t="e">
        <f t="shared" si="12"/>
        <v>#VALUE!</v>
      </c>
      <c r="X87" s="47" t="e">
        <f t="shared" si="13"/>
        <v>#VALUE!</v>
      </c>
      <c r="Y87" s="46" t="e">
        <f t="shared" si="14"/>
        <v>#VALUE!</v>
      </c>
      <c r="Z87" s="48" t="e">
        <f t="shared" si="15"/>
        <v>#VALUE!</v>
      </c>
      <c r="AA87" s="49" t="e">
        <f t="shared" si="16"/>
        <v>#VALUE!</v>
      </c>
      <c r="AB87" s="39"/>
      <c r="AC87" s="39"/>
      <c r="AD87" s="39"/>
      <c r="AE87" s="39"/>
      <c r="AF87" s="39"/>
      <c r="AG87" s="39"/>
    </row>
    <row r="88" spans="1:33" s="50" customFormat="1" ht="15.75" hidden="1" customHeight="1" x14ac:dyDescent="0.2">
      <c r="A88" s="51" t="s">
        <v>119</v>
      </c>
      <c r="B88" s="51"/>
      <c r="C88" s="52" t="str">
        <f>IFERROR(INDEX('[1]Balanza Egresos'!A$1:C$65536,MATCH(A88,'[1]Balanza Egresos'!A$1:A$65536,0),2),"SIN CUENTA")</f>
        <v>SIN CUENTA</v>
      </c>
      <c r="D88" s="53" t="e">
        <f>IF($P88="A",SUMIFS(D89:D$181,$A89:$A$181,LEFT($A88,$Q88)&amp;"*",$P89:$P$181,"R"),SUMIFS('[1]Balanza Egresos'!$F$1:$F$65536,'[1]Balanza Egresos'!$A$1:$A$65536,$A88))</f>
        <v>#VALUE!</v>
      </c>
      <c r="E88" s="53" t="e">
        <f>IF($P88="A",SUMIFS(E89:E$181,$A89:$A$181,LEFT($A88,$Q88)&amp;"*",$P89:$P$181,"R"),((H88/[1]Parametros!$E$12)*12)+$I88)</f>
        <v>#VALUE!</v>
      </c>
      <c r="F88" s="37">
        <f>IF($P88="A",SUMIFS(F89:F$181,$A89:$A$181,LEFT($A88,$Q88)&amp;"*",$P89:$P$181,"R"),K88+L88+M88+N88+O88)</f>
        <v>0</v>
      </c>
      <c r="G88" s="62"/>
      <c r="H88" s="59" t="e">
        <f>IF($P88="A",SUMIFS(H89:H$181,$A89:$A$181,LEFT($A88,$Q88)&amp;"*",$P89:$P$181,"R"),SUMIFS('[1]Balanza Egresos'!$V$1:$V$65536,'[1]Balanza Egresos'!$A$1:$A$65536,$A88))</f>
        <v>#VALUE!</v>
      </c>
      <c r="I88" s="59"/>
      <c r="J88" s="39"/>
      <c r="K88" s="61">
        <f>IF($P88="A",SUMIFS(K89:K$181,$A89:$A$181,LEFT($A88,$Q88)&amp;"*",$P89:$P$181,"R"),0)</f>
        <v>0</v>
      </c>
      <c r="L88" s="61">
        <f>IF($P88="A",SUMIFS(L89:L$181,$A89:$A$181,LEFT($A88,$Q88)&amp;"*",$P89:$P$181,"R"),0)</f>
        <v>0</v>
      </c>
      <c r="M88" s="61">
        <f>IF($P88="A",SUMIFS(M89:M$181,$A89:$A$181,LEFT($A88,$Q88)&amp;"*",$P89:$P$181,"R"),0)</f>
        <v>0</v>
      </c>
      <c r="N88" s="61">
        <f>IF($P88="A",SUMIFS(N89:N$181,$A89:$A$181,LEFT($A88,$Q88)&amp;"*",$P89:$P$181,"R"),0)</f>
        <v>0</v>
      </c>
      <c r="O88" s="61">
        <f>IF($P88="A",SUMIFS(O89:O$181,$A89:$A$181,LEFT($A88,$Q88)&amp;"*",$P89:$P$181,"R"),0)</f>
        <v>0</v>
      </c>
      <c r="P88" s="41" t="str">
        <f t="shared" si="17"/>
        <v>R</v>
      </c>
      <c r="Q88" s="41">
        <f t="shared" ref="Q88:Q151" si="18">IF(RIGHT(A88,4)="0000",1,IF(RIGHT(A88,3)="000",2,IF(RIGHT(A88,2)="00",3,4)))</f>
        <v>4</v>
      </c>
      <c r="R88" s="55" t="e">
        <f t="shared" si="10"/>
        <v>#VALUE!</v>
      </c>
      <c r="S88" s="56">
        <v>1</v>
      </c>
      <c r="T88" s="57">
        <v>2</v>
      </c>
      <c r="U88" s="6"/>
      <c r="V88" s="45" t="e">
        <f t="shared" si="11"/>
        <v>#VALUE!</v>
      </c>
      <c r="W88" s="46" t="e">
        <f t="shared" si="12"/>
        <v>#VALUE!</v>
      </c>
      <c r="X88" s="47" t="e">
        <f t="shared" si="13"/>
        <v>#VALUE!</v>
      </c>
      <c r="Y88" s="46" t="e">
        <f t="shared" si="14"/>
        <v>#VALUE!</v>
      </c>
      <c r="Z88" s="48" t="e">
        <f t="shared" si="15"/>
        <v>#VALUE!</v>
      </c>
      <c r="AA88" s="49" t="e">
        <f t="shared" si="16"/>
        <v>#VALUE!</v>
      </c>
      <c r="AB88" s="39"/>
      <c r="AC88" s="39"/>
      <c r="AD88" s="39"/>
      <c r="AE88" s="39"/>
      <c r="AF88" s="39"/>
      <c r="AG88" s="39"/>
    </row>
    <row r="89" spans="1:33" s="50" customFormat="1" ht="15.75" hidden="1" customHeight="1" x14ac:dyDescent="0.2">
      <c r="A89" s="51" t="s">
        <v>120</v>
      </c>
      <c r="B89" s="51"/>
      <c r="C89" s="52" t="str">
        <f>IFERROR(INDEX('[1]Balanza Egresos'!A$1:C$65536,MATCH(A89,'[1]Balanza Egresos'!A$1:A$65536,0),2),"SIN CUENTA")</f>
        <v>SIN CUENTA</v>
      </c>
      <c r="D89" s="53" t="e">
        <f>IF($P89="A",SUMIFS(D90:D$181,$A90:$A$181,LEFT($A89,$Q89)&amp;"*",$P90:$P$181,"R"),SUMIFS('[1]Balanza Egresos'!$F$1:$F$65536,'[1]Balanza Egresos'!$A$1:$A$65536,$A89))</f>
        <v>#VALUE!</v>
      </c>
      <c r="E89" s="53" t="e">
        <f>IF($P89="A",SUMIFS(E90:E$181,$A90:$A$181,LEFT($A89,$Q89)&amp;"*",$P90:$P$181,"R"),((H89/[1]Parametros!$E$12)*12)+$I89)</f>
        <v>#VALUE!</v>
      </c>
      <c r="F89" s="37">
        <f>IF($P89="A",SUMIFS(F90:F$181,$A90:$A$181,LEFT($A89,$Q89)&amp;"*",$P90:$P$181,"R"),K89+L89+M89+N89)</f>
        <v>0</v>
      </c>
      <c r="G89" s="62"/>
      <c r="H89" s="59" t="e">
        <f>IF($P89="A",SUMIFS(H90:H$181,$A90:$A$181,LEFT($A89,$Q89)&amp;"*",$P90:$P$181,"R"),SUMIFS('[1]Balanza Egresos'!$V$1:$V$65536,'[1]Balanza Egresos'!$A$1:$A$65536,$A89))</f>
        <v>#VALUE!</v>
      </c>
      <c r="I89" s="59"/>
      <c r="J89" s="39"/>
      <c r="K89" s="61">
        <f>IF($P89="A",SUMIFS(K90:K$181,$A90:$A$181,LEFT($A89,$Q89)&amp;"*",$P90:$P$181,"R"),0)</f>
        <v>0</v>
      </c>
      <c r="L89" s="61">
        <f>IF($P89="A",SUMIFS(L90:L$181,$A90:$A$181,LEFT($A89,$Q89)&amp;"*",$P90:$P$181,"R"),0)</f>
        <v>0</v>
      </c>
      <c r="M89" s="61">
        <f>IF($P89="A",SUMIFS(M90:M$181,$A90:$A$181,LEFT($A89,$Q89)&amp;"*",$P90:$P$181,"R"),0)</f>
        <v>0</v>
      </c>
      <c r="N89" s="61">
        <f>IF($P89="A",SUMIFS(N90:N$181,$A90:$A$181,LEFT($A89,$Q89)&amp;"*",$P90:$P$181,"R"),0)</f>
        <v>0</v>
      </c>
      <c r="O89" s="61">
        <f>IF($P89="A",SUMIFS(O90:O$181,$A90:$A$181,LEFT($A89,$Q89)&amp;"*",$P90:$P$181,"R"),0)</f>
        <v>0</v>
      </c>
      <c r="P89" s="41" t="str">
        <f t="shared" si="17"/>
        <v>A</v>
      </c>
      <c r="Q89" s="41">
        <f t="shared" si="18"/>
        <v>3</v>
      </c>
      <c r="R89" s="55" t="e">
        <f t="shared" si="10"/>
        <v>#VALUE!</v>
      </c>
      <c r="S89" s="56">
        <v>1</v>
      </c>
      <c r="T89" s="57">
        <v>2</v>
      </c>
      <c r="U89" s="6"/>
      <c r="V89" s="45" t="e">
        <f t="shared" si="11"/>
        <v>#VALUE!</v>
      </c>
      <c r="W89" s="46" t="e">
        <f t="shared" si="12"/>
        <v>#VALUE!</v>
      </c>
      <c r="X89" s="47" t="e">
        <f t="shared" si="13"/>
        <v>#VALUE!</v>
      </c>
      <c r="Y89" s="46" t="e">
        <f t="shared" si="14"/>
        <v>#VALUE!</v>
      </c>
      <c r="Z89" s="48" t="e">
        <f t="shared" si="15"/>
        <v>#VALUE!</v>
      </c>
      <c r="AA89" s="49" t="e">
        <f t="shared" si="16"/>
        <v>#VALUE!</v>
      </c>
      <c r="AB89" s="39"/>
      <c r="AC89" s="39"/>
      <c r="AD89" s="39"/>
      <c r="AE89" s="39"/>
      <c r="AF89" s="39"/>
      <c r="AG89" s="39"/>
    </row>
    <row r="90" spans="1:33" s="50" customFormat="1" ht="15.75" hidden="1" customHeight="1" x14ac:dyDescent="0.2">
      <c r="A90" s="51" t="s">
        <v>121</v>
      </c>
      <c r="B90" s="51"/>
      <c r="C90" s="52" t="str">
        <f>IFERROR(INDEX('[1]Balanza Egresos'!A$1:C$65536,MATCH(A90,'[1]Balanza Egresos'!A$1:A$65536,0),2),"SIN CUENTA")</f>
        <v>SIN CUENTA</v>
      </c>
      <c r="D90" s="53" t="e">
        <f>IF($P90="A",SUMIFS(D91:D$181,$A91:$A$181,LEFT($A90,$Q90)&amp;"*",$P91:$P$181,"R"),SUMIFS('[1]Balanza Egresos'!$F$1:$F$65536,'[1]Balanza Egresos'!$A$1:$A$65536,$A90))</f>
        <v>#VALUE!</v>
      </c>
      <c r="E90" s="53" t="e">
        <f>IF($P90="A",SUMIFS(E91:E$181,$A91:$A$181,LEFT($A90,$Q90)&amp;"*",$P91:$P$181,"R"),((H90/[1]Parametros!$E$12)*12)+$I90)</f>
        <v>#VALUE!</v>
      </c>
      <c r="F90" s="37">
        <f>IF($P90="A",SUMIFS(F91:F$181,$A91:$A$181,LEFT($A90,$Q90)&amp;"*",$P91:$P$181,"R"),K90+L90+M90+N90+O90)</f>
        <v>0</v>
      </c>
      <c r="G90" s="62"/>
      <c r="H90" s="59" t="e">
        <f>IF($P90="A",SUMIFS(H91:H$181,$A91:$A$181,LEFT($A90,$Q90)&amp;"*",$P91:$P$181,"R"),SUMIFS('[1]Balanza Egresos'!$V$1:$V$65536,'[1]Balanza Egresos'!$A$1:$A$65536,$A90))</f>
        <v>#VALUE!</v>
      </c>
      <c r="I90" s="59"/>
      <c r="J90" s="39"/>
      <c r="K90" s="61">
        <f>IF($P90="A",SUMIFS(K91:K$181,$A91:$A$181,LEFT($A90,$Q90)&amp;"*",$P91:$P$181,"R"),0)</f>
        <v>0</v>
      </c>
      <c r="L90" s="61">
        <f>IF($P90="A",SUMIFS(L91:L$181,$A91:$A$181,LEFT($A90,$Q90)&amp;"*",$P91:$P$181,"R"),0)</f>
        <v>0</v>
      </c>
      <c r="M90" s="61">
        <f>IF($P90="A",SUMIFS(M91:M$181,$A91:$A$181,LEFT($A90,$Q90)&amp;"*",$P91:$P$181,"R"),0)</f>
        <v>0</v>
      </c>
      <c r="N90" s="61">
        <f>IF($P90="A",SUMIFS(N91:N$181,$A91:$A$181,LEFT($A90,$Q90)&amp;"*",$P91:$P$181,"R"),0)</f>
        <v>0</v>
      </c>
      <c r="O90" s="61">
        <f>IF($P90="A",SUMIFS(O91:O$181,$A91:$A$181,LEFT($A90,$Q90)&amp;"*",$P91:$P$181,"R"),0)</f>
        <v>0</v>
      </c>
      <c r="P90" s="41" t="str">
        <f t="shared" si="17"/>
        <v>R</v>
      </c>
      <c r="Q90" s="41">
        <f t="shared" si="18"/>
        <v>4</v>
      </c>
      <c r="R90" s="55" t="e">
        <f t="shared" si="10"/>
        <v>#VALUE!</v>
      </c>
      <c r="S90" s="56">
        <v>1</v>
      </c>
      <c r="T90" s="57">
        <v>2</v>
      </c>
      <c r="U90" s="6"/>
      <c r="V90" s="45" t="e">
        <f t="shared" si="11"/>
        <v>#VALUE!</v>
      </c>
      <c r="W90" s="46" t="e">
        <f t="shared" si="12"/>
        <v>#VALUE!</v>
      </c>
      <c r="X90" s="47" t="e">
        <f t="shared" si="13"/>
        <v>#VALUE!</v>
      </c>
      <c r="Y90" s="46" t="e">
        <f t="shared" si="14"/>
        <v>#VALUE!</v>
      </c>
      <c r="Z90" s="48" t="e">
        <f t="shared" si="15"/>
        <v>#VALUE!</v>
      </c>
      <c r="AA90" s="49" t="e">
        <f t="shared" si="16"/>
        <v>#VALUE!</v>
      </c>
      <c r="AB90" s="39"/>
      <c r="AC90" s="39"/>
      <c r="AD90" s="39"/>
      <c r="AE90" s="39"/>
      <c r="AF90" s="39"/>
      <c r="AG90" s="39"/>
    </row>
    <row r="91" spans="1:33" s="50" customFormat="1" ht="15.75" hidden="1" customHeight="1" x14ac:dyDescent="0.2">
      <c r="A91" s="51" t="s">
        <v>122</v>
      </c>
      <c r="B91" s="51"/>
      <c r="C91" s="52" t="str">
        <f>IFERROR(INDEX('[1]Balanza Egresos'!A$1:C$65536,MATCH(A91,'[1]Balanza Egresos'!A$1:A$65536,0),2),"SIN CUENTA")</f>
        <v>SIN CUENTA</v>
      </c>
      <c r="D91" s="53" t="e">
        <f>IF($P91="A",SUMIFS(D92:D$181,$A92:$A$181,LEFT($A91,$Q91)&amp;"*",$P92:$P$181,"R"),SUMIFS('[1]Balanza Egresos'!$F$1:$F$65536,'[1]Balanza Egresos'!$A$1:$A$65536,$A91))</f>
        <v>#VALUE!</v>
      </c>
      <c r="E91" s="53" t="e">
        <f>IF($P91="A",SUMIFS(E92:E$181,$A92:$A$181,LEFT($A91,$Q91)&amp;"*",$P92:$P$181,"R"),((H91/[1]Parametros!$E$12)*12)+$I91)</f>
        <v>#VALUE!</v>
      </c>
      <c r="F91" s="37">
        <f>IF($P91="A",SUMIFS(F92:F$181,$A92:$A$181,LEFT($A91,$Q91)&amp;"*",$P92:$P$181,"R"),K91+L91+M91+N91)</f>
        <v>0</v>
      </c>
      <c r="G91" s="62"/>
      <c r="H91" s="59" t="e">
        <f>IF($P91="A",SUMIFS(H92:H$181,$A92:$A$181,LEFT($A91,$Q91)&amp;"*",$P92:$P$181,"R"),SUMIFS('[1]Balanza Egresos'!$V$1:$V$65536,'[1]Balanza Egresos'!$A$1:$A$65536,$A91))</f>
        <v>#VALUE!</v>
      </c>
      <c r="I91" s="59"/>
      <c r="J91" s="39"/>
      <c r="K91" s="61">
        <f>IF($P91="A",SUMIFS(K92:K$181,$A92:$A$181,LEFT($A91,$Q91)&amp;"*",$P92:$P$181,"R"),0)</f>
        <v>0</v>
      </c>
      <c r="L91" s="61">
        <f>IF($P91="A",SUMIFS(L92:L$181,$A92:$A$181,LEFT($A91,$Q91)&amp;"*",$P92:$P$181,"R"),0)</f>
        <v>0</v>
      </c>
      <c r="M91" s="61">
        <f>IF($P91="A",SUMIFS(M92:M$181,$A92:$A$181,LEFT($A91,$Q91)&amp;"*",$P92:$P$181,"R"),0)</f>
        <v>0</v>
      </c>
      <c r="N91" s="61">
        <f>IF($P91="A",SUMIFS(N92:N$181,$A92:$A$181,LEFT($A91,$Q91)&amp;"*",$P92:$P$181,"R"),0)</f>
        <v>0</v>
      </c>
      <c r="O91" s="61">
        <f>IF($P91="A",SUMIFS(O92:O$181,$A92:$A$181,LEFT($A91,$Q91)&amp;"*",$P92:$P$181,"R"),0)</f>
        <v>0</v>
      </c>
      <c r="P91" s="41" t="str">
        <f t="shared" si="17"/>
        <v>A</v>
      </c>
      <c r="Q91" s="41">
        <f t="shared" si="18"/>
        <v>3</v>
      </c>
      <c r="R91" s="55" t="e">
        <f t="shared" si="10"/>
        <v>#VALUE!</v>
      </c>
      <c r="S91" s="56">
        <v>1</v>
      </c>
      <c r="T91" s="57">
        <v>5</v>
      </c>
      <c r="U91" s="6"/>
      <c r="V91" s="45" t="e">
        <f t="shared" si="11"/>
        <v>#VALUE!</v>
      </c>
      <c r="W91" s="46" t="e">
        <f t="shared" si="12"/>
        <v>#VALUE!</v>
      </c>
      <c r="X91" s="47" t="e">
        <f t="shared" si="13"/>
        <v>#VALUE!</v>
      </c>
      <c r="Y91" s="46" t="e">
        <f t="shared" si="14"/>
        <v>#VALUE!</v>
      </c>
      <c r="Z91" s="48" t="e">
        <f t="shared" si="15"/>
        <v>#VALUE!</v>
      </c>
      <c r="AA91" s="49" t="e">
        <f t="shared" si="16"/>
        <v>#VALUE!</v>
      </c>
      <c r="AB91" s="39"/>
      <c r="AC91" s="39"/>
      <c r="AD91" s="39"/>
      <c r="AE91" s="39"/>
      <c r="AF91" s="39"/>
      <c r="AG91" s="39"/>
    </row>
    <row r="92" spans="1:33" s="50" customFormat="1" ht="15.75" hidden="1" customHeight="1" x14ac:dyDescent="0.2">
      <c r="A92" s="51" t="s">
        <v>123</v>
      </c>
      <c r="B92" s="51"/>
      <c r="C92" s="52" t="str">
        <f>IFERROR(INDEX('[1]Balanza Egresos'!A$1:C$65536,MATCH(A92,'[1]Balanza Egresos'!A$1:A$65536,0),2),"SIN CUENTA")</f>
        <v>SIN CUENTA</v>
      </c>
      <c r="D92" s="53" t="e">
        <f>IF($P92="A",SUMIFS(D93:D$181,$A93:$A$181,LEFT($A92,$Q92)&amp;"*",$P93:$P$181,"R"),SUMIFS('[1]Balanza Egresos'!$F$1:$F$65536,'[1]Balanza Egresos'!$A$1:$A$65536,$A92))</f>
        <v>#VALUE!</v>
      </c>
      <c r="E92" s="53" t="e">
        <f>IF($P92="A",SUMIFS(E93:E$181,$A93:$A$181,LEFT($A92,$Q92)&amp;"*",$P93:$P$181,"R"),((H92/[1]Parametros!$E$12)*12)+$I92)</f>
        <v>#VALUE!</v>
      </c>
      <c r="F92" s="37">
        <f>IF($P92="A",SUMIFS(F93:F$181,$A93:$A$181,LEFT($A92,$Q92)&amp;"*",$P93:$P$181,"R"),K92+L92+M92+N92+O92)</f>
        <v>0</v>
      </c>
      <c r="G92" s="62"/>
      <c r="H92" s="53" t="e">
        <f>IF($P92="A",SUMIFS(H93:H$181,$A93:$A$181,LEFT($A92,$Q92)&amp;"*",$P93:$P$181,"R"),SUMIFS('[1]Balanza Egresos'!$V$1:$V$65536,'[1]Balanza Egresos'!$A$1:$A$65536,$A92))</f>
        <v>#VALUE!</v>
      </c>
      <c r="I92" s="53">
        <f>SUM(I93:I94)</f>
        <v>0</v>
      </c>
      <c r="J92" s="39"/>
      <c r="K92" s="61">
        <f>IF($P92="A",SUMIFS(K93:K$181,$A93:$A$181,LEFT($A92,$Q92)&amp;"*",$P93:$P$181,"R"),0)</f>
        <v>0</v>
      </c>
      <c r="L92" s="61">
        <f>IF($P92="A",SUMIFS(L93:L$181,$A93:$A$181,LEFT($A92,$Q92)&amp;"*",$P93:$P$181,"R"),0)</f>
        <v>0</v>
      </c>
      <c r="M92" s="61">
        <f>IF($P92="A",SUMIFS(M93:M$181,$A93:$A$181,LEFT($A92,$Q92)&amp;"*",$P93:$P$181,"R"),0)</f>
        <v>0</v>
      </c>
      <c r="N92" s="61">
        <f>IF($P92="A",SUMIFS(N93:N$181,$A93:$A$181,LEFT($A92,$Q92)&amp;"*",$P93:$P$181,"R"),0)</f>
        <v>0</v>
      </c>
      <c r="O92" s="61">
        <f>IF($P92="A",SUMIFS(O93:O$181,$A93:$A$181,LEFT($A92,$Q92)&amp;"*",$P93:$P$181,"R"),0)</f>
        <v>0</v>
      </c>
      <c r="P92" s="41" t="str">
        <f t="shared" si="17"/>
        <v>R</v>
      </c>
      <c r="Q92" s="41">
        <f t="shared" si="18"/>
        <v>4</v>
      </c>
      <c r="R92" s="55" t="e">
        <f t="shared" si="10"/>
        <v>#VALUE!</v>
      </c>
      <c r="S92" s="56">
        <v>1</v>
      </c>
      <c r="T92" s="57" t="s">
        <v>23</v>
      </c>
      <c r="U92" s="6"/>
      <c r="V92" s="45" t="e">
        <f t="shared" si="11"/>
        <v>#VALUE!</v>
      </c>
      <c r="W92" s="46" t="e">
        <f t="shared" si="12"/>
        <v>#VALUE!</v>
      </c>
      <c r="X92" s="47" t="e">
        <f t="shared" si="13"/>
        <v>#VALUE!</v>
      </c>
      <c r="Y92" s="46" t="e">
        <f t="shared" si="14"/>
        <v>#VALUE!</v>
      </c>
      <c r="Z92" s="48" t="e">
        <f t="shared" si="15"/>
        <v>#VALUE!</v>
      </c>
      <c r="AA92" s="49" t="e">
        <f t="shared" si="16"/>
        <v>#VALUE!</v>
      </c>
      <c r="AB92" s="39"/>
      <c r="AC92" s="39"/>
      <c r="AD92" s="39"/>
      <c r="AE92" s="39"/>
      <c r="AF92" s="39"/>
      <c r="AG92" s="39"/>
    </row>
    <row r="93" spans="1:33" s="50" customFormat="1" ht="15.75" hidden="1" customHeight="1" x14ac:dyDescent="0.2">
      <c r="A93" s="51" t="s">
        <v>124</v>
      </c>
      <c r="B93" s="51"/>
      <c r="C93" s="52" t="str">
        <f>IFERROR(INDEX('[1]Balanza Egresos'!A$1:C$65536,MATCH(A93,'[1]Balanza Egresos'!A$1:A$65536,0),2),"SIN CUENTA")</f>
        <v>SIN CUENTA</v>
      </c>
      <c r="D93" s="53" t="e">
        <f>IF($P93="A",SUMIFS(D94:D$181,$A94:$A$181,LEFT($A93,$Q93)&amp;"*",$P94:$P$181,"R"),SUMIFS('[1]Balanza Egresos'!$F$1:$F$65536,'[1]Balanza Egresos'!$A$1:$A$65536,$A93))</f>
        <v>#VALUE!</v>
      </c>
      <c r="E93" s="53" t="e">
        <f>IF($P93="A",SUMIFS(E94:E$181,$A94:$A$181,LEFT($A93,$Q93)&amp;"*",$P94:$P$181,"R"),((H93/[1]Parametros!$E$12)*12)+$I93)</f>
        <v>#VALUE!</v>
      </c>
      <c r="F93" s="37">
        <f>IF($P93="A",SUMIFS(F94:F$181,$A94:$A$181,LEFT($A93,$Q93)&amp;"*",$P94:$P$181,"R"),K93+L93+M93+N93)</f>
        <v>0</v>
      </c>
      <c r="G93" s="62"/>
      <c r="H93" s="59" t="e">
        <f>IF($P93="A",SUMIFS(H94:H$181,$A94:$A$181,LEFT($A93,$Q93)&amp;"*",$P94:$P$181,"R"),SUMIFS('[1]Balanza Egresos'!$V$1:$V$65536,'[1]Balanza Egresos'!$A$1:$A$65536,$A93))</f>
        <v>#VALUE!</v>
      </c>
      <c r="I93" s="59"/>
      <c r="J93" s="39"/>
      <c r="K93" s="61">
        <f>IF($P93="A",SUMIFS(K94:K$181,$A94:$A$181,LEFT($A93,$Q93)&amp;"*",$P94:$P$181,"R"),0)</f>
        <v>0</v>
      </c>
      <c r="L93" s="61">
        <f>IF($P93="A",SUMIFS(L94:L$181,$A94:$A$181,LEFT($A93,$Q93)&amp;"*",$P94:$P$181,"R"),0)</f>
        <v>0</v>
      </c>
      <c r="M93" s="61">
        <f>IF($P93="A",SUMIFS(M94:M$181,$A94:$A$181,LEFT($A93,$Q93)&amp;"*",$P94:$P$181,"R"),0)</f>
        <v>0</v>
      </c>
      <c r="N93" s="61">
        <f>IF($P93="A",SUMIFS(N94:N$181,$A94:$A$181,LEFT($A93,$Q93)&amp;"*",$P94:$P$181,"R"),0)</f>
        <v>0</v>
      </c>
      <c r="O93" s="61">
        <f>IF($P93="A",SUMIFS(O94:O$181,$A94:$A$181,LEFT($A93,$Q93)&amp;"*",$P94:$P$181,"R"),0)</f>
        <v>0</v>
      </c>
      <c r="P93" s="41" t="str">
        <f t="shared" si="17"/>
        <v>A</v>
      </c>
      <c r="Q93" s="41">
        <f t="shared" si="18"/>
        <v>2</v>
      </c>
      <c r="R93" s="55" t="e">
        <f t="shared" si="10"/>
        <v>#VALUE!</v>
      </c>
      <c r="S93" s="56">
        <v>1</v>
      </c>
      <c r="T93" s="57">
        <v>2</v>
      </c>
      <c r="U93" s="6"/>
      <c r="V93" s="45" t="e">
        <f t="shared" si="11"/>
        <v>#VALUE!</v>
      </c>
      <c r="W93" s="46" t="e">
        <f t="shared" si="12"/>
        <v>#VALUE!</v>
      </c>
      <c r="X93" s="47" t="e">
        <f t="shared" si="13"/>
        <v>#VALUE!</v>
      </c>
      <c r="Y93" s="46" t="e">
        <f t="shared" si="14"/>
        <v>#VALUE!</v>
      </c>
      <c r="Z93" s="48" t="e">
        <f t="shared" si="15"/>
        <v>#VALUE!</v>
      </c>
      <c r="AA93" s="49" t="e">
        <f t="shared" si="16"/>
        <v>#VALUE!</v>
      </c>
      <c r="AB93" s="39"/>
      <c r="AC93" s="39"/>
      <c r="AD93" s="39"/>
      <c r="AE93" s="39"/>
      <c r="AF93" s="39"/>
      <c r="AG93" s="39"/>
    </row>
    <row r="94" spans="1:33" s="50" customFormat="1" ht="15" hidden="1" x14ac:dyDescent="0.2">
      <c r="A94" s="51" t="s">
        <v>125</v>
      </c>
      <c r="B94" s="51"/>
      <c r="C94" s="52" t="str">
        <f>IFERROR(INDEX('[1]Balanza Egresos'!A$1:C$65536,MATCH(A94,'[1]Balanza Egresos'!A$1:A$65536,0),2),"SIN CUENTA")</f>
        <v>SIN CUENTA</v>
      </c>
      <c r="D94" s="53" t="e">
        <f>IF($P94="A",SUMIFS(D95:D$181,$A95:$A$181,LEFT($A94,$Q94)&amp;"*",$P95:$P$181,"R"),SUMIFS('[1]Balanza Egresos'!$F$1:$F$65536,'[1]Balanza Egresos'!$A$1:$A$65536,$A94))</f>
        <v>#VALUE!</v>
      </c>
      <c r="E94" s="53" t="e">
        <f>IF($P94="A",SUMIFS(E95:E$181,$A95:$A$181,LEFT($A94,$Q94)&amp;"*",$P95:$P$181,"R"),((H94/[1]Parametros!$E$12)*12)+$I94)</f>
        <v>#VALUE!</v>
      </c>
      <c r="F94" s="37">
        <f>IF($P94="A",SUMIFS(F95:F$181,$A95:$A$181,LEFT($A94,$Q94)&amp;"*",$P95:$P$181,"R"),K94+L94+M94+N94)</f>
        <v>0</v>
      </c>
      <c r="G94" s="62"/>
      <c r="H94" s="59" t="e">
        <f>IF($P94="A",SUMIFS(H95:H$181,$A95:$A$181,LEFT($A94,$Q94)&amp;"*",$P95:$P$181,"R"),SUMIFS('[1]Balanza Egresos'!$V$1:$V$65536,'[1]Balanza Egresos'!$A$1:$A$65536,$A94))</f>
        <v>#VALUE!</v>
      </c>
      <c r="I94" s="59"/>
      <c r="J94" s="39"/>
      <c r="K94" s="61">
        <f>IF($P94="A",SUMIFS(K95:K$181,$A95:$A$181,LEFT($A94,$Q94)&amp;"*",$P95:$P$181,"R"),0)</f>
        <v>0</v>
      </c>
      <c r="L94" s="61">
        <f>IF($P94="A",SUMIFS(L95:L$181,$A95:$A$181,LEFT($A94,$Q94)&amp;"*",$P95:$P$181,"R"),0)</f>
        <v>0</v>
      </c>
      <c r="M94" s="61">
        <f>IF($P94="A",SUMIFS(M95:M$181,$A95:$A$181,LEFT($A94,$Q94)&amp;"*",$P95:$P$181,"R"),0)</f>
        <v>0</v>
      </c>
      <c r="N94" s="61">
        <f>IF($P94="A",SUMIFS(N95:N$181,$A95:$A$181,LEFT($A94,$Q94)&amp;"*",$P95:$P$181,"R"),0)</f>
        <v>0</v>
      </c>
      <c r="O94" s="61">
        <f>IF($P94="A",SUMIFS(O95:O$181,$A95:$A$181,LEFT($A94,$Q94)&amp;"*",$P95:$P$181,"R"),0)</f>
        <v>0</v>
      </c>
      <c r="P94" s="41" t="str">
        <f t="shared" si="17"/>
        <v>A</v>
      </c>
      <c r="Q94" s="41">
        <f t="shared" si="18"/>
        <v>3</v>
      </c>
      <c r="R94" s="55" t="e">
        <f t="shared" si="10"/>
        <v>#VALUE!</v>
      </c>
      <c r="S94" s="56">
        <v>1</v>
      </c>
      <c r="T94" s="57">
        <v>2</v>
      </c>
      <c r="U94" s="6"/>
      <c r="V94" s="45" t="e">
        <f t="shared" si="11"/>
        <v>#VALUE!</v>
      </c>
      <c r="W94" s="46" t="e">
        <f t="shared" si="12"/>
        <v>#VALUE!</v>
      </c>
      <c r="X94" s="47" t="e">
        <f t="shared" si="13"/>
        <v>#VALUE!</v>
      </c>
      <c r="Y94" s="46" t="e">
        <f t="shared" si="14"/>
        <v>#VALUE!</v>
      </c>
      <c r="Z94" s="48" t="e">
        <f t="shared" si="15"/>
        <v>#VALUE!</v>
      </c>
      <c r="AA94" s="49" t="e">
        <f t="shared" si="16"/>
        <v>#VALUE!</v>
      </c>
      <c r="AB94" s="39"/>
      <c r="AC94" s="39"/>
      <c r="AD94" s="39"/>
      <c r="AE94" s="39"/>
      <c r="AF94" s="39"/>
      <c r="AG94" s="39"/>
    </row>
    <row r="95" spans="1:33" s="50" customFormat="1" ht="15.75" hidden="1" customHeight="1" x14ac:dyDescent="0.2">
      <c r="A95" s="51" t="s">
        <v>126</v>
      </c>
      <c r="B95" s="51"/>
      <c r="C95" s="52" t="str">
        <f>IFERROR(INDEX('[1]Balanza Egresos'!A$1:C$65536,MATCH(A95,'[1]Balanza Egresos'!A$1:A$65536,0),2),"SIN CUENTA")</f>
        <v>SIN CUENTA</v>
      </c>
      <c r="D95" s="53" t="e">
        <f>IF($P95="A",SUMIFS(D96:D$181,$A96:$A$181,LEFT($A95,$Q95)&amp;"*",$P96:$P$181,"R"),SUMIFS('[1]Balanza Egresos'!$F$1:$F$65536,'[1]Balanza Egresos'!$A$1:$A$65536,$A95))</f>
        <v>#VALUE!</v>
      </c>
      <c r="E95" s="53" t="e">
        <f>IF($P95="A",SUMIFS(E96:E$181,$A96:$A$181,LEFT($A95,$Q95)&amp;"*",$P96:$P$181,"R"),((H95/[1]Parametros!$E$12)*12)+$I95)</f>
        <v>#VALUE!</v>
      </c>
      <c r="F95" s="37">
        <f>IF($P95="A",SUMIFS(F96:F$181,$A96:$A$181,LEFT($A95,$Q95)&amp;"*",$P96:$P$181,"R"),K95+L95+M95+N95+O95)</f>
        <v>0</v>
      </c>
      <c r="G95" s="62"/>
      <c r="H95" s="53" t="e">
        <f>IF($P95="A",SUMIFS(H96:H$181,$A96:$A$181,LEFT($A95,$Q95)&amp;"*",$P96:$P$181,"R"),SUMIFS('[1]Balanza Egresos'!$V$1:$V$65536,'[1]Balanza Egresos'!$A$1:$A$65536,$A95))</f>
        <v>#VALUE!</v>
      </c>
      <c r="I95" s="53">
        <f>I96+I98+I102+I105+I108</f>
        <v>0</v>
      </c>
      <c r="J95" s="39"/>
      <c r="K95" s="61">
        <f>IF($P95="A",SUMIFS(K96:K$181,$A96:$A$181,LEFT($A95,$Q95)&amp;"*",$P96:$P$181,"R"),0)</f>
        <v>0</v>
      </c>
      <c r="L95" s="61">
        <f>IF($P95="A",SUMIFS(L96:L$181,$A96:$A$181,LEFT($A95,$Q95)&amp;"*",$P96:$P$181,"R"),0)</f>
        <v>0</v>
      </c>
      <c r="M95" s="61">
        <f>IF($P95="A",SUMIFS(M96:M$181,$A96:$A$181,LEFT($A95,$Q95)&amp;"*",$P96:$P$181,"R"),0)</f>
        <v>0</v>
      </c>
      <c r="N95" s="61">
        <f>IF($P95="A",SUMIFS(N96:N$181,$A96:$A$181,LEFT($A95,$Q95)&amp;"*",$P96:$P$181,"R"),0)</f>
        <v>0</v>
      </c>
      <c r="O95" s="61">
        <f>IF($P95="A",SUMIFS(O96:O$181,$A96:$A$181,LEFT($A95,$Q95)&amp;"*",$P96:$P$181,"R"),0)</f>
        <v>0</v>
      </c>
      <c r="P95" s="41" t="str">
        <f t="shared" si="17"/>
        <v>R</v>
      </c>
      <c r="Q95" s="41">
        <f t="shared" si="18"/>
        <v>4</v>
      </c>
      <c r="R95" s="55" t="e">
        <f t="shared" si="10"/>
        <v>#VALUE!</v>
      </c>
      <c r="S95" s="56">
        <v>1</v>
      </c>
      <c r="T95" s="57" t="s">
        <v>23</v>
      </c>
      <c r="U95" s="6"/>
      <c r="V95" s="45" t="e">
        <f t="shared" si="11"/>
        <v>#VALUE!</v>
      </c>
      <c r="W95" s="46" t="e">
        <f t="shared" si="12"/>
        <v>#VALUE!</v>
      </c>
      <c r="X95" s="47" t="e">
        <f t="shared" si="13"/>
        <v>#VALUE!</v>
      </c>
      <c r="Y95" s="46" t="e">
        <f t="shared" si="14"/>
        <v>#VALUE!</v>
      </c>
      <c r="Z95" s="48" t="e">
        <f t="shared" si="15"/>
        <v>#VALUE!</v>
      </c>
      <c r="AA95" s="49" t="e">
        <f t="shared" si="16"/>
        <v>#VALUE!</v>
      </c>
      <c r="AB95" s="39"/>
      <c r="AC95" s="39"/>
      <c r="AD95" s="39"/>
      <c r="AE95" s="39"/>
      <c r="AF95" s="39"/>
      <c r="AG95" s="39"/>
    </row>
    <row r="96" spans="1:33" s="50" customFormat="1" ht="15.75" hidden="1" customHeight="1" x14ac:dyDescent="0.2">
      <c r="A96" s="51" t="s">
        <v>127</v>
      </c>
      <c r="B96" s="51"/>
      <c r="C96" s="52" t="str">
        <f>IFERROR(INDEX('[1]Balanza Egresos'!A$1:C$65536,MATCH(A96,'[1]Balanza Egresos'!A$1:A$65536,0),2),"SIN CUENTA")</f>
        <v>SIN CUENTA</v>
      </c>
      <c r="D96" s="53" t="e">
        <f>IF($P96="A",SUMIFS(D97:D$181,$A97:$A$181,LEFT($A96,$Q96)&amp;"*",$P97:$P$181,"R"),SUMIFS('[1]Balanza Egresos'!$F$1:$F$65536,'[1]Balanza Egresos'!$A$1:$A$65536,$A96))</f>
        <v>#VALUE!</v>
      </c>
      <c r="E96" s="53" t="e">
        <f>IF($P96="A",SUMIFS(E97:E$181,$A97:$A$181,LEFT($A96,$Q96)&amp;"*",$P97:$P$181,"R"),((H96/[1]Parametros!$E$12)*12)+$I96)</f>
        <v>#VALUE!</v>
      </c>
      <c r="F96" s="37">
        <f>IF($P96="A",SUMIFS(F97:F$181,$A97:$A$181,LEFT($A96,$Q96)&amp;"*",$P97:$P$181,"R"),K96+L96+M96+N96)</f>
        <v>0</v>
      </c>
      <c r="G96" s="62"/>
      <c r="H96" s="53" t="e">
        <f>IF($P96="A",SUMIFS(H97:H$181,$A97:$A$181,LEFT($A96,$Q96)&amp;"*",$P97:$P$181,"R"),SUMIFS('[1]Balanza Egresos'!$V$1:$V$65536,'[1]Balanza Egresos'!$A$1:$A$65536,$A96))</f>
        <v>#VALUE!</v>
      </c>
      <c r="I96" s="53">
        <f>I97</f>
        <v>0</v>
      </c>
      <c r="J96" s="39"/>
      <c r="K96" s="61">
        <f>IF($P96="A",SUMIFS(K97:K$181,$A97:$A$181,LEFT($A96,$Q96)&amp;"*",$P97:$P$181,"R"),0)</f>
        <v>0</v>
      </c>
      <c r="L96" s="61">
        <f>IF($P96="A",SUMIFS(L97:L$181,$A97:$A$181,LEFT($A96,$Q96)&amp;"*",$P97:$P$181,"R"),0)</f>
        <v>0</v>
      </c>
      <c r="M96" s="61">
        <f>IF($P96="A",SUMIFS(M97:M$181,$A97:$A$181,LEFT($A96,$Q96)&amp;"*",$P97:$P$181,"R"),0)</f>
        <v>0</v>
      </c>
      <c r="N96" s="61">
        <f>IF($P96="A",SUMIFS(N97:N$181,$A97:$A$181,LEFT($A96,$Q96)&amp;"*",$P97:$P$181,"R"),0)</f>
        <v>0</v>
      </c>
      <c r="O96" s="61">
        <f>IF($P96="A",SUMIFS(O97:O$181,$A97:$A$181,LEFT($A96,$Q96)&amp;"*",$P97:$P$181,"R"),0)</f>
        <v>0</v>
      </c>
      <c r="P96" s="41" t="str">
        <f t="shared" si="17"/>
        <v>A</v>
      </c>
      <c r="Q96" s="41">
        <f t="shared" si="18"/>
        <v>3</v>
      </c>
      <c r="R96" s="55" t="e">
        <f t="shared" si="10"/>
        <v>#VALUE!</v>
      </c>
      <c r="S96" s="56">
        <v>1</v>
      </c>
      <c r="T96" s="57" t="s">
        <v>23</v>
      </c>
      <c r="U96" s="6"/>
      <c r="V96" s="45" t="e">
        <f t="shared" si="11"/>
        <v>#VALUE!</v>
      </c>
      <c r="W96" s="46" t="e">
        <f t="shared" si="12"/>
        <v>#VALUE!</v>
      </c>
      <c r="X96" s="47" t="e">
        <f t="shared" si="13"/>
        <v>#VALUE!</v>
      </c>
      <c r="Y96" s="46" t="e">
        <f t="shared" si="14"/>
        <v>#VALUE!</v>
      </c>
      <c r="Z96" s="48" t="e">
        <f t="shared" si="15"/>
        <v>#VALUE!</v>
      </c>
      <c r="AA96" s="49" t="e">
        <f t="shared" si="16"/>
        <v>#VALUE!</v>
      </c>
      <c r="AB96" s="39"/>
      <c r="AC96" s="39"/>
      <c r="AD96" s="39"/>
      <c r="AE96" s="39"/>
      <c r="AF96" s="39"/>
      <c r="AG96" s="39"/>
    </row>
    <row r="97" spans="1:33" s="50" customFormat="1" ht="15.75" hidden="1" customHeight="1" x14ac:dyDescent="0.2">
      <c r="A97" s="51" t="s">
        <v>128</v>
      </c>
      <c r="B97" s="51"/>
      <c r="C97" s="52" t="str">
        <f>IFERROR(INDEX('[1]Balanza Egresos'!A$1:C$65536,MATCH(A97,'[1]Balanza Egresos'!A$1:A$65536,0),2),"SIN CUENTA")</f>
        <v>SIN CUENTA</v>
      </c>
      <c r="D97" s="53" t="e">
        <f>IF($P97="A",SUMIFS(D98:D$181,$A98:$A$181,LEFT($A97,$Q97)&amp;"*",$P98:$P$181,"R"),SUMIFS('[1]Balanza Egresos'!$F$1:$F$65536,'[1]Balanza Egresos'!$A$1:$A$65536,$A97))</f>
        <v>#VALUE!</v>
      </c>
      <c r="E97" s="53" t="e">
        <f>IF($P97="A",SUMIFS(E98:E$181,$A98:$A$181,LEFT($A97,$Q97)&amp;"*",$P98:$P$181,"R"),((H97/[1]Parametros!$E$12)*12)+$I97)</f>
        <v>#VALUE!</v>
      </c>
      <c r="F97" s="37">
        <f>IF($P97="A",SUMIFS(F98:F$181,$A98:$A$181,LEFT($A97,$Q97)&amp;"*",$P98:$P$181,"R"),K97+L97+M97+N97+O97)</f>
        <v>0</v>
      </c>
      <c r="G97" s="62"/>
      <c r="H97" s="59" t="e">
        <f>IF($P97="A",SUMIFS(H98:H$181,$A98:$A$181,LEFT($A97,$Q97)&amp;"*",$P98:$P$181,"R"),SUMIFS('[1]Balanza Egresos'!$V$1:$V$65536,'[1]Balanza Egresos'!$A$1:$A$65536,$A97))</f>
        <v>#VALUE!</v>
      </c>
      <c r="I97" s="59"/>
      <c r="J97" s="39"/>
      <c r="K97" s="61">
        <f>IF($P97="A",SUMIFS(K98:K$181,$A98:$A$181,LEFT($A97,$Q97)&amp;"*",$P98:$P$181,"R"),0)</f>
        <v>0</v>
      </c>
      <c r="L97" s="61">
        <f>IF($P97="A",SUMIFS(L98:L$181,$A98:$A$181,LEFT($A97,$Q97)&amp;"*",$P98:$P$181,"R"),0)</f>
        <v>0</v>
      </c>
      <c r="M97" s="61">
        <f>IF($P97="A",SUMIFS(M98:M$181,$A98:$A$181,LEFT($A97,$Q97)&amp;"*",$P98:$P$181,"R"),0)</f>
        <v>0</v>
      </c>
      <c r="N97" s="61">
        <f>IF($P97="A",SUMIFS(N98:N$181,$A98:$A$181,LEFT($A97,$Q97)&amp;"*",$P98:$P$181,"R"),0)</f>
        <v>0</v>
      </c>
      <c r="O97" s="61">
        <f>IF($P97="A",SUMIFS(O98:O$181,$A98:$A$181,LEFT($A97,$Q97)&amp;"*",$P98:$P$181,"R"),0)</f>
        <v>0</v>
      </c>
      <c r="P97" s="41" t="str">
        <f t="shared" si="17"/>
        <v>R</v>
      </c>
      <c r="Q97" s="41">
        <f t="shared" si="18"/>
        <v>4</v>
      </c>
      <c r="R97" s="55" t="e">
        <f t="shared" si="10"/>
        <v>#VALUE!</v>
      </c>
      <c r="S97" s="56">
        <v>1</v>
      </c>
      <c r="T97" s="57">
        <v>2</v>
      </c>
      <c r="U97" s="6"/>
      <c r="V97" s="45" t="e">
        <f t="shared" si="11"/>
        <v>#VALUE!</v>
      </c>
      <c r="W97" s="46" t="e">
        <f t="shared" si="12"/>
        <v>#VALUE!</v>
      </c>
      <c r="X97" s="47" t="e">
        <f t="shared" si="13"/>
        <v>#VALUE!</v>
      </c>
      <c r="Y97" s="46" t="e">
        <f t="shared" si="14"/>
        <v>#VALUE!</v>
      </c>
      <c r="Z97" s="48" t="e">
        <f t="shared" si="15"/>
        <v>#VALUE!</v>
      </c>
      <c r="AA97" s="49" t="e">
        <f t="shared" si="16"/>
        <v>#VALUE!</v>
      </c>
      <c r="AB97" s="39"/>
      <c r="AC97" s="39"/>
      <c r="AD97" s="39"/>
      <c r="AE97" s="39"/>
      <c r="AF97" s="39"/>
      <c r="AG97" s="39"/>
    </row>
    <row r="98" spans="1:33" s="50" customFormat="1" ht="15.75" hidden="1" customHeight="1" x14ac:dyDescent="0.2">
      <c r="A98" s="51" t="s">
        <v>129</v>
      </c>
      <c r="B98" s="51"/>
      <c r="C98" s="52" t="str">
        <f>IFERROR(INDEX('[1]Balanza Egresos'!A$1:C$65536,MATCH(A98,'[1]Balanza Egresos'!A$1:A$65536,0),2),"SIN CUENTA")</f>
        <v>SIN CUENTA</v>
      </c>
      <c r="D98" s="53" t="e">
        <f>IF($P98="A",SUMIFS(D99:D$181,$A99:$A$181,LEFT($A98,$Q98)&amp;"*",$P99:$P$181,"R"),SUMIFS('[1]Balanza Egresos'!$F$1:$F$65536,'[1]Balanza Egresos'!$A$1:$A$65536,$A98))</f>
        <v>#VALUE!</v>
      </c>
      <c r="E98" s="53" t="e">
        <f>IF($P98="A",SUMIFS(E99:E$181,$A99:$A$181,LEFT($A98,$Q98)&amp;"*",$P99:$P$181,"R"),((H98/[1]Parametros!$E$12)*12)+$I98)</f>
        <v>#VALUE!</v>
      </c>
      <c r="F98" s="37">
        <f>IF($P98="A",SUMIFS(F99:F$181,$A99:$A$181,LEFT($A98,$Q98)&amp;"*",$P99:$P$181,"R"),K98+L98+M98+N98)</f>
        <v>0</v>
      </c>
      <c r="G98" s="62"/>
      <c r="H98" s="53" t="e">
        <f>IF($P98="A",SUMIFS(H99:H$181,$A99:$A$181,LEFT($A98,$Q98)&amp;"*",$P99:$P$181,"R"),SUMIFS('[1]Balanza Egresos'!$V$1:$V$65536,'[1]Balanza Egresos'!$A$1:$A$65536,$A98))</f>
        <v>#VALUE!</v>
      </c>
      <c r="I98" s="53">
        <f>SUM(I99:I101)</f>
        <v>0</v>
      </c>
      <c r="J98" s="39"/>
      <c r="K98" s="61">
        <f>IF($P98="A",SUMIFS(K99:K$181,$A99:$A$181,LEFT($A98,$Q98)&amp;"*",$P99:$P$181,"R"),0)</f>
        <v>0</v>
      </c>
      <c r="L98" s="61">
        <f>IF($P98="A",SUMIFS(L99:L$181,$A99:$A$181,LEFT($A98,$Q98)&amp;"*",$P99:$P$181,"R"),0)</f>
        <v>0</v>
      </c>
      <c r="M98" s="61">
        <f>IF($P98="A",SUMIFS(M99:M$181,$A99:$A$181,LEFT($A98,$Q98)&amp;"*",$P99:$P$181,"R"),0)</f>
        <v>0</v>
      </c>
      <c r="N98" s="61">
        <f>IF($P98="A",SUMIFS(N99:N$181,$A99:$A$181,LEFT($A98,$Q98)&amp;"*",$P99:$P$181,"R"),0)</f>
        <v>0</v>
      </c>
      <c r="O98" s="61">
        <f>IF($P98="A",SUMIFS(O99:O$181,$A99:$A$181,LEFT($A98,$Q98)&amp;"*",$P99:$P$181,"R"),0)</f>
        <v>0</v>
      </c>
      <c r="P98" s="41" t="str">
        <f t="shared" si="17"/>
        <v>A</v>
      </c>
      <c r="Q98" s="41">
        <f t="shared" si="18"/>
        <v>3</v>
      </c>
      <c r="R98" s="55" t="e">
        <f t="shared" si="10"/>
        <v>#VALUE!</v>
      </c>
      <c r="S98" s="56">
        <v>1</v>
      </c>
      <c r="T98" s="57" t="s">
        <v>23</v>
      </c>
      <c r="U98" s="6"/>
      <c r="V98" s="45" t="e">
        <f t="shared" si="11"/>
        <v>#VALUE!</v>
      </c>
      <c r="W98" s="46" t="e">
        <f t="shared" si="12"/>
        <v>#VALUE!</v>
      </c>
      <c r="X98" s="47" t="e">
        <f t="shared" si="13"/>
        <v>#VALUE!</v>
      </c>
      <c r="Y98" s="46" t="e">
        <f t="shared" si="14"/>
        <v>#VALUE!</v>
      </c>
      <c r="Z98" s="48" t="e">
        <f t="shared" si="15"/>
        <v>#VALUE!</v>
      </c>
      <c r="AA98" s="49" t="e">
        <f t="shared" si="16"/>
        <v>#VALUE!</v>
      </c>
      <c r="AB98" s="39"/>
      <c r="AC98" s="39"/>
      <c r="AD98" s="39"/>
      <c r="AE98" s="39"/>
      <c r="AF98" s="39"/>
      <c r="AG98" s="39"/>
    </row>
    <row r="99" spans="1:33" s="50" customFormat="1" ht="15.75" hidden="1" customHeight="1" x14ac:dyDescent="0.2">
      <c r="A99" s="51" t="s">
        <v>130</v>
      </c>
      <c r="B99" s="51"/>
      <c r="C99" s="52" t="str">
        <f>IFERROR(INDEX('[1]Balanza Egresos'!A$1:C$65536,MATCH(A99,'[1]Balanza Egresos'!A$1:A$65536,0),2),"SIN CUENTA")</f>
        <v>SIN CUENTA</v>
      </c>
      <c r="D99" s="53" t="e">
        <f>IF($P99="A",SUMIFS(D100:D$181,$A100:$A$181,LEFT($A99,$Q99)&amp;"*",$P100:$P$181,"R"),SUMIFS('[1]Balanza Egresos'!$F$1:$F$65536,'[1]Balanza Egresos'!$A$1:$A$65536,$A99))</f>
        <v>#VALUE!</v>
      </c>
      <c r="E99" s="53" t="e">
        <f>IF($P99="A",SUMIFS(E100:E$181,$A100:$A$181,LEFT($A99,$Q99)&amp;"*",$P100:$P$181,"R"),((H99/[1]Parametros!$E$12)*12)+$I99)</f>
        <v>#VALUE!</v>
      </c>
      <c r="F99" s="37">
        <f>IF($P99="A",SUMIFS(F100:F$181,$A100:$A$181,LEFT($A99,$Q99)&amp;"*",$P100:$P$181,"R"),K99+L99+M99+N99+O99)</f>
        <v>0</v>
      </c>
      <c r="G99" s="62"/>
      <c r="H99" s="59" t="e">
        <f>IF($P99="A",SUMIFS(H100:H$181,$A100:$A$181,LEFT($A99,$Q99)&amp;"*",$P100:$P$181,"R"),SUMIFS('[1]Balanza Egresos'!$V$1:$V$65536,'[1]Balanza Egresos'!$A$1:$A$65536,$A99))</f>
        <v>#VALUE!</v>
      </c>
      <c r="I99" s="59"/>
      <c r="J99" s="39"/>
      <c r="K99" s="61">
        <f>IF($P99="A",SUMIFS(K100:K$181,$A100:$A$181,LEFT($A99,$Q99)&amp;"*",$P100:$P$181,"R"),0)</f>
        <v>0</v>
      </c>
      <c r="L99" s="61">
        <f>IF($P99="A",SUMIFS(L100:L$181,$A100:$A$181,LEFT($A99,$Q99)&amp;"*",$P100:$P$181,"R"),0)</f>
        <v>0</v>
      </c>
      <c r="M99" s="61">
        <f>IF($P99="A",SUMIFS(M100:M$181,$A100:$A$181,LEFT($A99,$Q99)&amp;"*",$P100:$P$181,"R"),0)</f>
        <v>0</v>
      </c>
      <c r="N99" s="61">
        <f>IF($P99="A",SUMIFS(N100:N$181,$A100:$A$181,LEFT($A99,$Q99)&amp;"*",$P100:$P$181,"R"),0)</f>
        <v>0</v>
      </c>
      <c r="O99" s="61">
        <f>IF($P99="A",SUMIFS(O100:O$181,$A100:$A$181,LEFT($A99,$Q99)&amp;"*",$P100:$P$181,"R"),0)</f>
        <v>0</v>
      </c>
      <c r="P99" s="41" t="str">
        <f t="shared" si="17"/>
        <v>R</v>
      </c>
      <c r="Q99" s="41">
        <f t="shared" si="18"/>
        <v>4</v>
      </c>
      <c r="R99" s="55" t="e">
        <f t="shared" si="10"/>
        <v>#VALUE!</v>
      </c>
      <c r="S99" s="56">
        <v>1</v>
      </c>
      <c r="T99" s="57">
        <v>2</v>
      </c>
      <c r="U99" s="6"/>
      <c r="V99" s="45" t="e">
        <f t="shared" si="11"/>
        <v>#VALUE!</v>
      </c>
      <c r="W99" s="46" t="e">
        <f t="shared" si="12"/>
        <v>#VALUE!</v>
      </c>
      <c r="X99" s="47" t="e">
        <f t="shared" si="13"/>
        <v>#VALUE!</v>
      </c>
      <c r="Y99" s="46" t="e">
        <f t="shared" si="14"/>
        <v>#VALUE!</v>
      </c>
      <c r="Z99" s="48" t="e">
        <f t="shared" si="15"/>
        <v>#VALUE!</v>
      </c>
      <c r="AA99" s="49" t="e">
        <f t="shared" si="16"/>
        <v>#VALUE!</v>
      </c>
      <c r="AB99" s="39"/>
      <c r="AC99" s="39"/>
      <c r="AD99" s="39"/>
      <c r="AE99" s="39"/>
      <c r="AF99" s="39"/>
      <c r="AG99" s="39"/>
    </row>
    <row r="100" spans="1:33" s="50" customFormat="1" ht="15.75" hidden="1" customHeight="1" x14ac:dyDescent="0.2">
      <c r="A100" s="51" t="s">
        <v>131</v>
      </c>
      <c r="B100" s="51"/>
      <c r="C100" s="52" t="str">
        <f>IFERROR(INDEX('[1]Balanza Egresos'!A$1:C$65536,MATCH(A100,'[1]Balanza Egresos'!A$1:A$65536,0),2),"SIN CUENTA")</f>
        <v>SIN CUENTA</v>
      </c>
      <c r="D100" s="53" t="e">
        <f>IF($P100="A",SUMIFS(D101:D$181,$A101:$A$181,LEFT($A100,$Q100)&amp;"*",$P101:$P$181,"R"),SUMIFS('[1]Balanza Egresos'!$F$1:$F$65536,'[1]Balanza Egresos'!$A$1:$A$65536,$A100))</f>
        <v>#VALUE!</v>
      </c>
      <c r="E100" s="53" t="e">
        <f>IF($P100="A",SUMIFS(E101:E$181,$A101:$A$181,LEFT($A100,$Q100)&amp;"*",$P101:$P$181,"R"),((H100/[1]Parametros!$E$12)*12)+$I100)</f>
        <v>#VALUE!</v>
      </c>
      <c r="F100" s="37">
        <f>IF($P100="A",SUMIFS(F101:F$181,$A101:$A$181,LEFT($A100,$Q100)&amp;"*",$P101:$P$181,"R"),K100+L100+M100+N100)</f>
        <v>0</v>
      </c>
      <c r="G100" s="62"/>
      <c r="H100" s="59" t="e">
        <f>IF($P100="A",SUMIFS(H101:H$181,$A101:$A$181,LEFT($A100,$Q100)&amp;"*",$P101:$P$181,"R"),SUMIFS('[1]Balanza Egresos'!$V$1:$V$65536,'[1]Balanza Egresos'!$A$1:$A$65536,$A100))</f>
        <v>#VALUE!</v>
      </c>
      <c r="I100" s="59"/>
      <c r="J100" s="39"/>
      <c r="K100" s="61">
        <f>IF($P100="A",SUMIFS(K101:K$181,$A101:$A$181,LEFT($A100,$Q100)&amp;"*",$P101:$P$181,"R"),0)</f>
        <v>0</v>
      </c>
      <c r="L100" s="61">
        <f>IF($P100="A",SUMIFS(L101:L$181,$A101:$A$181,LEFT($A100,$Q100)&amp;"*",$P101:$P$181,"R"),0)</f>
        <v>0</v>
      </c>
      <c r="M100" s="61">
        <f>IF($P100="A",SUMIFS(M101:M$181,$A101:$A$181,LEFT($A100,$Q100)&amp;"*",$P101:$P$181,"R"),0)</f>
        <v>0</v>
      </c>
      <c r="N100" s="61">
        <f>IF($P100="A",SUMIFS(N101:N$181,$A101:$A$181,LEFT($A100,$Q100)&amp;"*",$P101:$P$181,"R"),0)</f>
        <v>0</v>
      </c>
      <c r="O100" s="61">
        <f>IF($P100="A",SUMIFS(O101:O$181,$A101:$A$181,LEFT($A100,$Q100)&amp;"*",$P101:$P$181,"R"),0)</f>
        <v>0</v>
      </c>
      <c r="P100" s="41" t="str">
        <f t="shared" si="17"/>
        <v>A</v>
      </c>
      <c r="Q100" s="41">
        <f t="shared" si="18"/>
        <v>3</v>
      </c>
      <c r="R100" s="55" t="e">
        <f t="shared" si="10"/>
        <v>#VALUE!</v>
      </c>
      <c r="S100" s="56">
        <v>1</v>
      </c>
      <c r="T100" s="57">
        <v>2</v>
      </c>
      <c r="U100" s="6"/>
      <c r="V100" s="45" t="e">
        <f t="shared" si="11"/>
        <v>#VALUE!</v>
      </c>
      <c r="W100" s="46" t="e">
        <f t="shared" si="12"/>
        <v>#VALUE!</v>
      </c>
      <c r="X100" s="47" t="e">
        <f t="shared" si="13"/>
        <v>#VALUE!</v>
      </c>
      <c r="Y100" s="46" t="e">
        <f t="shared" si="14"/>
        <v>#VALUE!</v>
      </c>
      <c r="Z100" s="48" t="e">
        <f t="shared" si="15"/>
        <v>#VALUE!</v>
      </c>
      <c r="AA100" s="49" t="e">
        <f t="shared" si="16"/>
        <v>#VALUE!</v>
      </c>
      <c r="AB100" s="39"/>
      <c r="AC100" s="39"/>
      <c r="AD100" s="39"/>
      <c r="AE100" s="39"/>
      <c r="AF100" s="39"/>
      <c r="AG100" s="39"/>
    </row>
    <row r="101" spans="1:33" s="50" customFormat="1" ht="15.75" hidden="1" customHeight="1" x14ac:dyDescent="0.2">
      <c r="A101" s="51" t="s">
        <v>132</v>
      </c>
      <c r="B101" s="51"/>
      <c r="C101" s="52" t="str">
        <f>IFERROR(INDEX('[1]Balanza Egresos'!A$1:C$65536,MATCH(A101,'[1]Balanza Egresos'!A$1:A$65536,0),2),"SIN CUENTA")</f>
        <v>SIN CUENTA</v>
      </c>
      <c r="D101" s="53" t="e">
        <f>IF($P101="A",SUMIFS(D102:D$181,$A102:$A$181,LEFT($A101,$Q101)&amp;"*",$P102:$P$181,"R"),SUMIFS('[1]Balanza Egresos'!$F$1:$F$65536,'[1]Balanza Egresos'!$A$1:$A$65536,$A101))</f>
        <v>#VALUE!</v>
      </c>
      <c r="E101" s="53" t="e">
        <f>IF($P101="A",SUMIFS(E102:E$181,$A102:$A$181,LEFT($A101,$Q101)&amp;"*",$P102:$P$181,"R"),((H101/[1]Parametros!$E$12)*12)+$I101)</f>
        <v>#VALUE!</v>
      </c>
      <c r="F101" s="37">
        <f>IF($P101="A",SUMIFS(F102:F$181,$A102:$A$181,LEFT($A101,$Q101)&amp;"*",$P102:$P$181,"R"),K101+L101+M101+N101+O101)</f>
        <v>0</v>
      </c>
      <c r="G101" s="62"/>
      <c r="H101" s="59" t="e">
        <f>IF($P101="A",SUMIFS(H102:H$181,$A102:$A$181,LEFT($A101,$Q101)&amp;"*",$P102:$P$181,"R"),SUMIFS('[1]Balanza Egresos'!$V$1:$V$65536,'[1]Balanza Egresos'!$A$1:$A$65536,$A101))</f>
        <v>#VALUE!</v>
      </c>
      <c r="I101" s="59"/>
      <c r="J101" s="39"/>
      <c r="K101" s="61">
        <f>IF($P101="A",SUMIFS(K102:K$181,$A102:$A$181,LEFT($A101,$Q101)&amp;"*",$P102:$P$181,"R"),0)</f>
        <v>0</v>
      </c>
      <c r="L101" s="61">
        <f>IF($P101="A",SUMIFS(L102:L$181,$A102:$A$181,LEFT($A101,$Q101)&amp;"*",$P102:$P$181,"R"),0)</f>
        <v>0</v>
      </c>
      <c r="M101" s="61">
        <f>IF($P101="A",SUMIFS(M102:M$181,$A102:$A$181,LEFT($A101,$Q101)&amp;"*",$P102:$P$181,"R"),0)</f>
        <v>0</v>
      </c>
      <c r="N101" s="61">
        <f>IF($P101="A",SUMIFS(N102:N$181,$A102:$A$181,LEFT($A101,$Q101)&amp;"*",$P102:$P$181,"R"),0)</f>
        <v>0</v>
      </c>
      <c r="O101" s="61">
        <f>IF($P101="A",SUMIFS(O102:O$181,$A102:$A$181,LEFT($A101,$Q101)&amp;"*",$P102:$P$181,"R"),0)</f>
        <v>0</v>
      </c>
      <c r="P101" s="41" t="str">
        <f t="shared" si="17"/>
        <v>R</v>
      </c>
      <c r="Q101" s="41">
        <f t="shared" si="18"/>
        <v>4</v>
      </c>
      <c r="R101" s="55" t="e">
        <f t="shared" si="10"/>
        <v>#VALUE!</v>
      </c>
      <c r="S101" s="56">
        <v>1</v>
      </c>
      <c r="T101" s="57">
        <v>2</v>
      </c>
      <c r="U101" s="6"/>
      <c r="V101" s="45" t="e">
        <f t="shared" si="11"/>
        <v>#VALUE!</v>
      </c>
      <c r="W101" s="46" t="e">
        <f t="shared" si="12"/>
        <v>#VALUE!</v>
      </c>
      <c r="X101" s="47" t="e">
        <f t="shared" si="13"/>
        <v>#VALUE!</v>
      </c>
      <c r="Y101" s="46" t="e">
        <f t="shared" si="14"/>
        <v>#VALUE!</v>
      </c>
      <c r="Z101" s="48" t="e">
        <f t="shared" si="15"/>
        <v>#VALUE!</v>
      </c>
      <c r="AA101" s="49" t="e">
        <f t="shared" si="16"/>
        <v>#VALUE!</v>
      </c>
      <c r="AB101" s="39"/>
      <c r="AC101" s="39"/>
      <c r="AD101" s="39"/>
      <c r="AE101" s="39"/>
      <c r="AF101" s="39"/>
      <c r="AG101" s="39"/>
    </row>
    <row r="102" spans="1:33" s="50" customFormat="1" ht="15.75" hidden="1" customHeight="1" x14ac:dyDescent="0.2">
      <c r="A102" s="51" t="s">
        <v>133</v>
      </c>
      <c r="B102" s="51"/>
      <c r="C102" s="52" t="str">
        <f>IFERROR(INDEX('[1]Balanza Egresos'!A$1:C$65536,MATCH(A102,'[1]Balanza Egresos'!A$1:A$65536,0),2),"SIN CUENTA")</f>
        <v>SIN CUENTA</v>
      </c>
      <c r="D102" s="53" t="e">
        <f>IF($P102="A",SUMIFS(D103:D$181,$A103:$A$181,LEFT($A102,$Q102)&amp;"*",$P103:$P$181,"R"),SUMIFS('[1]Balanza Egresos'!$F$1:$F$65536,'[1]Balanza Egresos'!$A$1:$A$65536,$A102))</f>
        <v>#VALUE!</v>
      </c>
      <c r="E102" s="53" t="e">
        <f>IF($P102="A",SUMIFS(E103:E$181,$A103:$A$181,LEFT($A102,$Q102)&amp;"*",$P103:$P$181,"R"),((H102/[1]Parametros!$E$12)*12)+$I102)</f>
        <v>#VALUE!</v>
      </c>
      <c r="F102" s="37">
        <f>IF($P102="A",SUMIFS(F103:F$181,$A103:$A$181,LEFT($A102,$Q102)&amp;"*",$P103:$P$181,"R"),K102+L102+M102+N102+O102)</f>
        <v>0</v>
      </c>
      <c r="G102" s="62"/>
      <c r="H102" s="53" t="e">
        <f>IF($P102="A",SUMIFS(H103:H$181,$A103:$A$181,LEFT($A102,$Q102)&amp;"*",$P103:$P$181,"R"),SUMIFS('[1]Balanza Egresos'!$V$1:$V$65536,'[1]Balanza Egresos'!$A$1:$A$65536,$A102))</f>
        <v>#VALUE!</v>
      </c>
      <c r="I102" s="53">
        <f>SUM(I103:I104)</f>
        <v>0</v>
      </c>
      <c r="J102" s="39"/>
      <c r="K102" s="61">
        <f>IF($P102="A",SUMIFS(K103:K$181,$A103:$A$181,LEFT($A102,$Q102)&amp;"*",$P103:$P$181,"R"),0)</f>
        <v>0</v>
      </c>
      <c r="L102" s="61">
        <f>IF($P102="A",SUMIFS(L103:L$181,$A103:$A$181,LEFT($A102,$Q102)&amp;"*",$P103:$P$181,"R"),0)</f>
        <v>0</v>
      </c>
      <c r="M102" s="61">
        <f>IF($P102="A",SUMIFS(M103:M$181,$A103:$A$181,LEFT($A102,$Q102)&amp;"*",$P103:$P$181,"R"),0)</f>
        <v>0</v>
      </c>
      <c r="N102" s="61">
        <f>IF($P102="A",SUMIFS(N103:N$181,$A103:$A$181,LEFT($A102,$Q102)&amp;"*",$P103:$P$181,"R"),0)</f>
        <v>0</v>
      </c>
      <c r="O102" s="61">
        <f>IF($P102="A",SUMIFS(O103:O$181,$A103:$A$181,LEFT($A102,$Q102)&amp;"*",$P103:$P$181,"R"),0)</f>
        <v>0</v>
      </c>
      <c r="P102" s="41" t="str">
        <f t="shared" si="17"/>
        <v>R</v>
      </c>
      <c r="Q102" s="41">
        <f t="shared" si="18"/>
        <v>4</v>
      </c>
      <c r="R102" s="55" t="e">
        <f t="shared" si="10"/>
        <v>#VALUE!</v>
      </c>
      <c r="S102" s="56">
        <v>1</v>
      </c>
      <c r="T102" s="57" t="s">
        <v>23</v>
      </c>
      <c r="U102" s="6"/>
      <c r="V102" s="45" t="e">
        <f t="shared" si="11"/>
        <v>#VALUE!</v>
      </c>
      <c r="W102" s="46" t="e">
        <f t="shared" si="12"/>
        <v>#VALUE!</v>
      </c>
      <c r="X102" s="47" t="e">
        <f t="shared" si="13"/>
        <v>#VALUE!</v>
      </c>
      <c r="Y102" s="46" t="e">
        <f t="shared" si="14"/>
        <v>#VALUE!</v>
      </c>
      <c r="Z102" s="48" t="e">
        <f t="shared" si="15"/>
        <v>#VALUE!</v>
      </c>
      <c r="AA102" s="49" t="e">
        <f t="shared" si="16"/>
        <v>#VALUE!</v>
      </c>
      <c r="AB102" s="39"/>
      <c r="AC102" s="39"/>
      <c r="AD102" s="39"/>
      <c r="AE102" s="39"/>
      <c r="AF102" s="39"/>
      <c r="AG102" s="39"/>
    </row>
    <row r="103" spans="1:33" s="50" customFormat="1" ht="15.75" hidden="1" customHeight="1" x14ac:dyDescent="0.2">
      <c r="A103" s="51" t="s">
        <v>134</v>
      </c>
      <c r="B103" s="51"/>
      <c r="C103" s="52" t="str">
        <f>IFERROR(INDEX('[1]Balanza Egresos'!A$1:C$65536,MATCH(A103,'[1]Balanza Egresos'!A$1:A$65536,0),2),"SIN CUENTA")</f>
        <v>SIN CUENTA</v>
      </c>
      <c r="D103" s="53" t="e">
        <f>IF($P103="A",SUMIFS(D104:D$181,$A104:$A$181,LEFT($A103,$Q103)&amp;"*",$P104:$P$181,"R"),SUMIFS('[1]Balanza Egresos'!$F$1:$F$65536,'[1]Balanza Egresos'!$A$1:$A$65536,$A103))</f>
        <v>#VALUE!</v>
      </c>
      <c r="E103" s="53" t="e">
        <f>IF($P103="A",SUMIFS(E104:E$181,$A104:$A$181,LEFT($A103,$Q103)&amp;"*",$P104:$P$181,"R"),((H103/[1]Parametros!$E$12)*12)+$I103)</f>
        <v>#VALUE!</v>
      </c>
      <c r="F103" s="37">
        <f>IF($P103="A",SUMIFS(F104:F$181,$A104:$A$181,LEFT($A103,$Q103)&amp;"*",$P104:$P$181,"R"),K103+L103+M103+N103+O103)</f>
        <v>0</v>
      </c>
      <c r="G103" s="62"/>
      <c r="H103" s="59" t="e">
        <f>IF($P103="A",SUMIFS(H104:H$181,$A104:$A$181,LEFT($A103,$Q103)&amp;"*",$P104:$P$181,"R"),SUMIFS('[1]Balanza Egresos'!$V$1:$V$65536,'[1]Balanza Egresos'!$A$1:$A$65536,$A103))</f>
        <v>#VALUE!</v>
      </c>
      <c r="I103" s="59"/>
      <c r="J103" s="39"/>
      <c r="K103" s="61">
        <f>IF($P103="A",SUMIFS(K104:K$181,$A104:$A$181,LEFT($A103,$Q103)&amp;"*",$P104:$P$181,"R"),0)</f>
        <v>0</v>
      </c>
      <c r="L103" s="61">
        <f>IF($P103="A",SUMIFS(L104:L$181,$A104:$A$181,LEFT($A103,$Q103)&amp;"*",$P104:$P$181,"R"),0)</f>
        <v>0</v>
      </c>
      <c r="M103" s="61">
        <f>IF($P103="A",SUMIFS(M104:M$181,$A104:$A$181,LEFT($A103,$Q103)&amp;"*",$P104:$P$181,"R"),0)</f>
        <v>0</v>
      </c>
      <c r="N103" s="61">
        <f>IF($P103="A",SUMIFS(N104:N$181,$A104:$A$181,LEFT($A103,$Q103)&amp;"*",$P104:$P$181,"R"),0)</f>
        <v>0</v>
      </c>
      <c r="O103" s="61">
        <f>IF($P103="A",SUMIFS(O104:O$181,$A104:$A$181,LEFT($A103,$Q103)&amp;"*",$P104:$P$181,"R"),0)</f>
        <v>0</v>
      </c>
      <c r="P103" s="41" t="str">
        <f t="shared" si="17"/>
        <v>R</v>
      </c>
      <c r="Q103" s="41">
        <f t="shared" si="18"/>
        <v>4</v>
      </c>
      <c r="R103" s="55" t="e">
        <f t="shared" si="10"/>
        <v>#VALUE!</v>
      </c>
      <c r="S103" s="56">
        <v>1</v>
      </c>
      <c r="T103" s="57">
        <v>2</v>
      </c>
      <c r="U103" s="6"/>
      <c r="V103" s="45" t="e">
        <f t="shared" si="11"/>
        <v>#VALUE!</v>
      </c>
      <c r="W103" s="46" t="e">
        <f t="shared" si="12"/>
        <v>#VALUE!</v>
      </c>
      <c r="X103" s="47" t="e">
        <f t="shared" si="13"/>
        <v>#VALUE!</v>
      </c>
      <c r="Y103" s="46" t="e">
        <f t="shared" si="14"/>
        <v>#VALUE!</v>
      </c>
      <c r="Z103" s="48" t="e">
        <f t="shared" si="15"/>
        <v>#VALUE!</v>
      </c>
      <c r="AA103" s="49" t="e">
        <f t="shared" si="16"/>
        <v>#VALUE!</v>
      </c>
      <c r="AB103" s="39"/>
      <c r="AC103" s="39"/>
      <c r="AD103" s="39"/>
      <c r="AE103" s="39"/>
      <c r="AF103" s="39"/>
      <c r="AG103" s="39"/>
    </row>
    <row r="104" spans="1:33" s="50" customFormat="1" ht="15.75" hidden="1" customHeight="1" x14ac:dyDescent="0.2">
      <c r="A104" s="51" t="s">
        <v>135</v>
      </c>
      <c r="B104" s="51"/>
      <c r="C104" s="52" t="str">
        <f>IFERROR(INDEX('[1]Balanza Egresos'!A$1:C$65536,MATCH(A104,'[1]Balanza Egresos'!A$1:A$65536,0),2),"SIN CUENTA")</f>
        <v>SIN CUENTA</v>
      </c>
      <c r="D104" s="53" t="e">
        <f>IF($P104="A",SUMIFS(D105:D$181,$A105:$A$181,LEFT($A104,$Q104)&amp;"*",$P105:$P$181,"R"),SUMIFS('[1]Balanza Egresos'!$F$1:$F$65536,'[1]Balanza Egresos'!$A$1:$A$65536,$A104))</f>
        <v>#VALUE!</v>
      </c>
      <c r="E104" s="53" t="e">
        <f>IF($P104="A",SUMIFS(E105:E$181,$A105:$A$181,LEFT($A104,$Q104)&amp;"*",$P105:$P$181,"R"),((H104/[1]Parametros!$E$12)*12)+$I104)</f>
        <v>#VALUE!</v>
      </c>
      <c r="F104" s="37">
        <f>IF($P104="A",SUMIFS(F105:F$181,$A105:$A$181,LEFT($A104,$Q104)&amp;"*",$P105:$P$181,"R"),K104+L104+M104+N104+O104)</f>
        <v>0</v>
      </c>
      <c r="G104" s="62"/>
      <c r="H104" s="59" t="e">
        <f>IF($P104="A",SUMIFS(H105:H$181,$A105:$A$181,LEFT($A104,$Q104)&amp;"*",$P105:$P$181,"R"),SUMIFS('[1]Balanza Egresos'!$V$1:$V$65536,'[1]Balanza Egresos'!$A$1:$A$65536,$A104))</f>
        <v>#VALUE!</v>
      </c>
      <c r="I104" s="59"/>
      <c r="J104" s="39"/>
      <c r="K104" s="61">
        <f>IF($P104="A",SUMIFS(K105:K$181,$A105:$A$181,LEFT($A104,$Q104)&amp;"*",$P105:$P$181,"R"),0)</f>
        <v>0</v>
      </c>
      <c r="L104" s="61">
        <f>IF($P104="A",SUMIFS(L105:L$181,$A105:$A$181,LEFT($A104,$Q104)&amp;"*",$P105:$P$181,"R"),0)</f>
        <v>0</v>
      </c>
      <c r="M104" s="61">
        <f>IF($P104="A",SUMIFS(M105:M$181,$A105:$A$181,LEFT($A104,$Q104)&amp;"*",$P105:$P$181,"R"),0)</f>
        <v>0</v>
      </c>
      <c r="N104" s="61">
        <f>IF($P104="A",SUMIFS(N105:N$181,$A105:$A$181,LEFT($A104,$Q104)&amp;"*",$P105:$P$181,"R"),0)</f>
        <v>0</v>
      </c>
      <c r="O104" s="61">
        <f>IF($P104="A",SUMIFS(O105:O$181,$A105:$A$181,LEFT($A104,$Q104)&amp;"*",$P105:$P$181,"R"),0)</f>
        <v>0</v>
      </c>
      <c r="P104" s="41" t="str">
        <f t="shared" si="17"/>
        <v>R</v>
      </c>
      <c r="Q104" s="41">
        <f t="shared" si="18"/>
        <v>4</v>
      </c>
      <c r="R104" s="55" t="e">
        <f t="shared" si="10"/>
        <v>#VALUE!</v>
      </c>
      <c r="S104" s="56">
        <v>1</v>
      </c>
      <c r="T104" s="57">
        <v>2</v>
      </c>
      <c r="U104" s="6"/>
      <c r="V104" s="45" t="e">
        <f t="shared" si="11"/>
        <v>#VALUE!</v>
      </c>
      <c r="W104" s="46" t="e">
        <f t="shared" si="12"/>
        <v>#VALUE!</v>
      </c>
      <c r="X104" s="47" t="e">
        <f t="shared" si="13"/>
        <v>#VALUE!</v>
      </c>
      <c r="Y104" s="46" t="e">
        <f t="shared" si="14"/>
        <v>#VALUE!</v>
      </c>
      <c r="Z104" s="48" t="e">
        <f t="shared" si="15"/>
        <v>#VALUE!</v>
      </c>
      <c r="AA104" s="49" t="e">
        <f t="shared" si="16"/>
        <v>#VALUE!</v>
      </c>
      <c r="AB104" s="39"/>
      <c r="AC104" s="39"/>
      <c r="AD104" s="39"/>
      <c r="AE104" s="39"/>
      <c r="AF104" s="39"/>
      <c r="AG104" s="39"/>
    </row>
    <row r="105" spans="1:33" s="50" customFormat="1" ht="15" hidden="1" x14ac:dyDescent="0.2">
      <c r="A105" s="51" t="s">
        <v>136</v>
      </c>
      <c r="B105" s="64"/>
      <c r="C105" s="65" t="str">
        <f>IFERROR(INDEX('[1]Balanza Egresos'!A$1:C$65536,MATCH(A105,'[1]Balanza Egresos'!A$1:A$65536,0),2),"SIN CUENTA")</f>
        <v>SIN CUENTA</v>
      </c>
      <c r="D105" s="53" t="e">
        <f>IF($P105="A",SUMIFS(D106:D$181,$A106:$A$181,LEFT($A105,$Q105)&amp;"*",$P106:$P$181,"R"),SUMIFS('[1]Balanza Egresos'!$F$1:$F$65536,'[1]Balanza Egresos'!$A$1:$A$65536,$A105))</f>
        <v>#VALUE!</v>
      </c>
      <c r="E105" s="53" t="e">
        <f>IF($P105="A",SUMIFS(E106:E$181,$A106:$A$181,LEFT($A105,$Q105)&amp;"*",$P106:$P$181,"R"),((H105/[1]Parametros!$E$12)*12)+$I105)</f>
        <v>#VALUE!</v>
      </c>
      <c r="F105" s="37">
        <f>IF($P105="A",SUMIFS(F106:F$181,$A106:$A$181,LEFT($A105,$Q105)&amp;"*",$P106:$P$181,"R"),K105+L105+M105+N105+O105)</f>
        <v>0</v>
      </c>
      <c r="G105" s="62"/>
      <c r="H105" s="53" t="e">
        <f>IF($P105="A",SUMIFS(H106:H$181,$A106:$A$181,LEFT($A105,$Q105)&amp;"*",$P106:$P$181,"R"),SUMIFS('[1]Balanza Egresos'!$V$1:$V$65536,'[1]Balanza Egresos'!$A$1:$A$65536,$A105))</f>
        <v>#VALUE!</v>
      </c>
      <c r="I105" s="53">
        <f>SUM(I106:I107)</f>
        <v>0</v>
      </c>
      <c r="J105" s="39"/>
      <c r="K105" s="61">
        <f>IF($P105="A",SUMIFS(K106:K$181,$A106:$A$181,LEFT($A105,$Q105)&amp;"*",$P106:$P$181,"R"),0)</f>
        <v>0</v>
      </c>
      <c r="L105" s="61">
        <f>IF($P105="A",SUMIFS(L106:L$181,$A106:$A$181,LEFT($A105,$Q105)&amp;"*",$P106:$P$181,"R"),0)</f>
        <v>0</v>
      </c>
      <c r="M105" s="61">
        <f>IF($P105="A",SUMIFS(M106:M$181,$A106:$A$181,LEFT($A105,$Q105)&amp;"*",$P106:$P$181,"R"),0)</f>
        <v>0</v>
      </c>
      <c r="N105" s="61">
        <f>IF($P105="A",SUMIFS(N106:N$181,$A106:$A$181,LEFT($A105,$Q105)&amp;"*",$P106:$P$181,"R"),0)</f>
        <v>0</v>
      </c>
      <c r="O105" s="61">
        <f>IF($P105="A",SUMIFS(O106:O$181,$A106:$A$181,LEFT($A105,$Q105)&amp;"*",$P106:$P$181,"R"),0)</f>
        <v>0</v>
      </c>
      <c r="P105" s="41" t="str">
        <f t="shared" si="17"/>
        <v>R</v>
      </c>
      <c r="Q105" s="41">
        <f t="shared" si="18"/>
        <v>4</v>
      </c>
      <c r="R105" s="55" t="e">
        <f t="shared" si="10"/>
        <v>#VALUE!</v>
      </c>
      <c r="S105" s="56">
        <v>1</v>
      </c>
      <c r="T105" s="57" t="s">
        <v>23</v>
      </c>
      <c r="U105" s="6"/>
      <c r="V105" s="45" t="e">
        <f t="shared" si="11"/>
        <v>#VALUE!</v>
      </c>
      <c r="W105" s="46" t="e">
        <f t="shared" si="12"/>
        <v>#VALUE!</v>
      </c>
      <c r="X105" s="47" t="e">
        <f t="shared" si="13"/>
        <v>#VALUE!</v>
      </c>
      <c r="Y105" s="46" t="e">
        <f t="shared" si="14"/>
        <v>#VALUE!</v>
      </c>
      <c r="Z105" s="48" t="e">
        <f t="shared" si="15"/>
        <v>#VALUE!</v>
      </c>
      <c r="AA105" s="49" t="e">
        <f t="shared" si="16"/>
        <v>#VALUE!</v>
      </c>
      <c r="AB105" s="39"/>
      <c r="AC105" s="39"/>
      <c r="AD105" s="39"/>
      <c r="AE105" s="39"/>
      <c r="AF105" s="39"/>
      <c r="AG105" s="39"/>
    </row>
    <row r="106" spans="1:33" s="50" customFormat="1" ht="15.75" hidden="1" customHeight="1" x14ac:dyDescent="0.2">
      <c r="A106" s="51" t="s">
        <v>137</v>
      </c>
      <c r="B106" s="51"/>
      <c r="C106" s="52" t="str">
        <f>IFERROR(INDEX('[1]Balanza Egresos'!A$1:C$65536,MATCH(A106,'[1]Balanza Egresos'!A$1:A$65536,0),2),"SIN CUENTA")</f>
        <v>SIN CUENTA</v>
      </c>
      <c r="D106" s="53" t="e">
        <f>IF($P106="A",SUMIFS(D107:D$181,$A107:$A$181,LEFT($A106,$Q106)&amp;"*",$P107:$P$181,"R"),SUMIFS('[1]Balanza Egresos'!$F$1:$F$65536,'[1]Balanza Egresos'!$A$1:$A$65536,$A106))</f>
        <v>#VALUE!</v>
      </c>
      <c r="E106" s="53" t="e">
        <f>IF($P106="A",SUMIFS(E107:E$181,$A107:$A$181,LEFT($A106,$Q106)&amp;"*",$P107:$P$181,"R"),((H106/[1]Parametros!$E$12)*12)+$I106)</f>
        <v>#VALUE!</v>
      </c>
      <c r="F106" s="37">
        <f>IF($P106="A",SUMIFS(F107:F$181,$A107:$A$181,LEFT($A106,$Q106)&amp;"*",$P107:$P$181,"R"),K106+L106+M106+N106+O106)</f>
        <v>0</v>
      </c>
      <c r="G106" s="62"/>
      <c r="H106" s="59" t="e">
        <f>IF($P106="A",SUMIFS(H107:H$181,$A107:$A$181,LEFT($A106,$Q106)&amp;"*",$P107:$P$181,"R"),SUMIFS('[1]Balanza Egresos'!$V$1:$V$65536,'[1]Balanza Egresos'!$A$1:$A$65536,$A106))</f>
        <v>#VALUE!</v>
      </c>
      <c r="I106" s="59"/>
      <c r="J106" s="39"/>
      <c r="K106" s="61">
        <f>IF($P106="A",SUMIFS(K107:K$181,$A107:$A$181,LEFT($A106,$Q106)&amp;"*",$P107:$P$181,"R"),0)</f>
        <v>0</v>
      </c>
      <c r="L106" s="61">
        <f>IF($P106="A",SUMIFS(L107:L$181,$A107:$A$181,LEFT($A106,$Q106)&amp;"*",$P107:$P$181,"R"),0)</f>
        <v>0</v>
      </c>
      <c r="M106" s="61">
        <f>IF($P106="A",SUMIFS(M107:M$181,$A107:$A$181,LEFT($A106,$Q106)&amp;"*",$P107:$P$181,"R"),0)</f>
        <v>0</v>
      </c>
      <c r="N106" s="61">
        <f>IF($P106="A",SUMIFS(N107:N$181,$A107:$A$181,LEFT($A106,$Q106)&amp;"*",$P107:$P$181,"R"),0)</f>
        <v>0</v>
      </c>
      <c r="O106" s="61">
        <f>IF($P106="A",SUMIFS(O107:O$181,$A107:$A$181,LEFT($A106,$Q106)&amp;"*",$P107:$P$181,"R"),0)</f>
        <v>0</v>
      </c>
      <c r="P106" s="41" t="str">
        <f t="shared" si="17"/>
        <v>R</v>
      </c>
      <c r="Q106" s="41">
        <f t="shared" si="18"/>
        <v>4</v>
      </c>
      <c r="R106" s="55" t="e">
        <f t="shared" si="10"/>
        <v>#VALUE!</v>
      </c>
      <c r="S106" s="56">
        <v>1</v>
      </c>
      <c r="T106" s="57">
        <v>2</v>
      </c>
      <c r="U106" s="6"/>
      <c r="V106" s="45" t="e">
        <f t="shared" si="11"/>
        <v>#VALUE!</v>
      </c>
      <c r="W106" s="46" t="e">
        <f t="shared" si="12"/>
        <v>#VALUE!</v>
      </c>
      <c r="X106" s="47" t="e">
        <f t="shared" si="13"/>
        <v>#VALUE!</v>
      </c>
      <c r="Y106" s="46" t="e">
        <f t="shared" si="14"/>
        <v>#VALUE!</v>
      </c>
      <c r="Z106" s="48" t="e">
        <f t="shared" si="15"/>
        <v>#VALUE!</v>
      </c>
      <c r="AA106" s="49" t="e">
        <f t="shared" si="16"/>
        <v>#VALUE!</v>
      </c>
      <c r="AB106" s="39"/>
      <c r="AC106" s="39"/>
      <c r="AD106" s="39"/>
      <c r="AE106" s="39"/>
      <c r="AF106" s="39"/>
      <c r="AG106" s="39"/>
    </row>
    <row r="107" spans="1:33" s="50" customFormat="1" ht="15.75" hidden="1" customHeight="1" x14ac:dyDescent="0.2">
      <c r="A107" s="51" t="s">
        <v>138</v>
      </c>
      <c r="B107" s="51"/>
      <c r="C107" s="52" t="str">
        <f>IFERROR(INDEX('[1]Balanza Egresos'!A$1:C$65536,MATCH(A107,'[1]Balanza Egresos'!A$1:A$65536,0),2),"SIN CUENTA")</f>
        <v>SIN CUENTA</v>
      </c>
      <c r="D107" s="53" t="e">
        <f>IF($P107="A",SUMIFS(D108:D$181,$A108:$A$181,LEFT($A107,$Q107)&amp;"*",$P108:$P$181,"R"),SUMIFS('[1]Balanza Egresos'!$F$1:$F$65536,'[1]Balanza Egresos'!$A$1:$A$65536,$A107))</f>
        <v>#VALUE!</v>
      </c>
      <c r="E107" s="53" t="e">
        <f>IF($P107="A",SUMIFS(E108:E$181,$A108:$A$181,LEFT($A107,$Q107)&amp;"*",$P108:$P$181,"R"),((H107/[1]Parametros!$E$12)*12)+$I107)</f>
        <v>#VALUE!</v>
      </c>
      <c r="F107" s="37">
        <f>IF($P107="A",SUMIFS(F108:F$181,$A108:$A$181,LEFT($A107,$Q107)&amp;"*",$P108:$P$181,"R"),K107+L107+M107+N107+O107)</f>
        <v>0</v>
      </c>
      <c r="G107" s="62"/>
      <c r="H107" s="59" t="e">
        <f>IF($P107="A",SUMIFS(H108:H$181,$A108:$A$181,LEFT($A107,$Q107)&amp;"*",$P108:$P$181,"R"),SUMIFS('[1]Balanza Egresos'!$V$1:$V$65536,'[1]Balanza Egresos'!$A$1:$A$65536,$A107))</f>
        <v>#VALUE!</v>
      </c>
      <c r="I107" s="59"/>
      <c r="J107" s="39"/>
      <c r="K107" s="61">
        <f>IF($P107="A",SUMIFS(K108:K$181,$A108:$A$181,LEFT($A107,$Q107)&amp;"*",$P108:$P$181,"R"),0)</f>
        <v>0</v>
      </c>
      <c r="L107" s="61">
        <f>IF($P107="A",SUMIFS(L108:L$181,$A108:$A$181,LEFT($A107,$Q107)&amp;"*",$P108:$P$181,"R"),0)</f>
        <v>0</v>
      </c>
      <c r="M107" s="61">
        <f>IF($P107="A",SUMIFS(M108:M$181,$A108:$A$181,LEFT($A107,$Q107)&amp;"*",$P108:$P$181,"R"),0)</f>
        <v>0</v>
      </c>
      <c r="N107" s="61">
        <f>IF($P107="A",SUMIFS(N108:N$181,$A108:$A$181,LEFT($A107,$Q107)&amp;"*",$P108:$P$181,"R"),0)</f>
        <v>0</v>
      </c>
      <c r="O107" s="61">
        <f>IF($P107="A",SUMIFS(O108:O$181,$A108:$A$181,LEFT($A107,$Q107)&amp;"*",$P108:$P$181,"R"),0)</f>
        <v>0</v>
      </c>
      <c r="P107" s="41" t="str">
        <f t="shared" si="17"/>
        <v>R</v>
      </c>
      <c r="Q107" s="41">
        <f t="shared" si="18"/>
        <v>4</v>
      </c>
      <c r="R107" s="55" t="e">
        <f t="shared" si="10"/>
        <v>#VALUE!</v>
      </c>
      <c r="S107" s="56">
        <v>1</v>
      </c>
      <c r="T107" s="57">
        <v>2</v>
      </c>
      <c r="U107" s="6"/>
      <c r="V107" s="45" t="e">
        <f t="shared" si="11"/>
        <v>#VALUE!</v>
      </c>
      <c r="W107" s="46" t="e">
        <f t="shared" si="12"/>
        <v>#VALUE!</v>
      </c>
      <c r="X107" s="47" t="e">
        <f t="shared" si="13"/>
        <v>#VALUE!</v>
      </c>
      <c r="Y107" s="46" t="e">
        <f t="shared" si="14"/>
        <v>#VALUE!</v>
      </c>
      <c r="Z107" s="48" t="e">
        <f t="shared" si="15"/>
        <v>#VALUE!</v>
      </c>
      <c r="AA107" s="49" t="e">
        <f t="shared" si="16"/>
        <v>#VALUE!</v>
      </c>
      <c r="AB107" s="39"/>
      <c r="AC107" s="39"/>
      <c r="AD107" s="39"/>
      <c r="AE107" s="39"/>
      <c r="AF107" s="39"/>
      <c r="AG107" s="39"/>
    </row>
    <row r="108" spans="1:33" s="50" customFormat="1" ht="15" hidden="1" x14ac:dyDescent="0.2">
      <c r="A108" s="51" t="s">
        <v>139</v>
      </c>
      <c r="B108" s="51"/>
      <c r="C108" s="65" t="str">
        <f>IFERROR(INDEX('[1]Balanza Egresos'!A$1:C$65536,MATCH(A108,'[1]Balanza Egresos'!A$1:A$65536,0),2),"SIN CUENTA")</f>
        <v>SIN CUENTA</v>
      </c>
      <c r="D108" s="53" t="e">
        <f>IF($P108="A",SUMIFS(D109:D$181,$A109:$A$181,LEFT($A108,$Q108)&amp;"*",$P109:$P$181,"R"),SUMIFS('[1]Balanza Egresos'!$F$1:$F$65536,'[1]Balanza Egresos'!$A$1:$A$65536,$A108))</f>
        <v>#VALUE!</v>
      </c>
      <c r="E108" s="53" t="e">
        <f>IF($P108="A",SUMIFS(E109:E$181,$A109:$A$181,LEFT($A108,$Q108)&amp;"*",$P109:$P$181,"R"),((H108/[1]Parametros!$E$12)*12)+$I108)</f>
        <v>#VALUE!</v>
      </c>
      <c r="F108" s="37">
        <f>IF($P108="A",SUMIFS(F109:F$181,$A109:$A$181,LEFT($A108,$Q108)&amp;"*",$P109:$P$181,"R"),K108+L108+M108+N108+O108)</f>
        <v>0</v>
      </c>
      <c r="G108" s="58"/>
      <c r="H108" s="59" t="e">
        <f>IF($P108="A",SUMIFS(H109:H$181,$A109:$A$181,LEFT($A108,$Q108)&amp;"*",$P109:$P$181,"R"),SUMIFS('[1]Balanza Egresos'!$V$1:$V$65536,'[1]Balanza Egresos'!$A$1:$A$65536,$A108))</f>
        <v>#VALUE!</v>
      </c>
      <c r="I108" s="66"/>
      <c r="J108" s="39"/>
      <c r="K108" s="61">
        <f>IF($P108="A",SUMIFS(K109:K$181,$A109:$A$181,LEFT($A108,$Q108)&amp;"*",$P109:$P$181,"R"),0)</f>
        <v>0</v>
      </c>
      <c r="L108" s="61">
        <f>IF($P108="A",SUMIFS(L109:L$181,$A109:$A$181,LEFT($A108,$Q108)&amp;"*",$P109:$P$181,"R"),0)</f>
        <v>0</v>
      </c>
      <c r="M108" s="61">
        <f>IF($P108="A",SUMIFS(M109:M$181,$A109:$A$181,LEFT($A108,$Q108)&amp;"*",$P109:$P$181,"R"),0)</f>
        <v>0</v>
      </c>
      <c r="N108" s="61">
        <f>IF($P108="A",SUMIFS(N109:N$181,$A109:$A$181,LEFT($A108,$Q108)&amp;"*",$P109:$P$181,"R"),0)</f>
        <v>0</v>
      </c>
      <c r="O108" s="61">
        <f>IF($P108="A",SUMIFS(O109:O$181,$A109:$A$181,LEFT($A108,$Q108)&amp;"*",$P109:$P$181,"R"),0)</f>
        <v>0</v>
      </c>
      <c r="P108" s="41" t="str">
        <f t="shared" si="17"/>
        <v>R</v>
      </c>
      <c r="Q108" s="41">
        <f t="shared" si="18"/>
        <v>4</v>
      </c>
      <c r="R108" s="55" t="e">
        <f t="shared" si="10"/>
        <v>#VALUE!</v>
      </c>
      <c r="S108" s="56">
        <v>1</v>
      </c>
      <c r="T108" s="57">
        <v>2</v>
      </c>
      <c r="U108" s="6"/>
      <c r="V108" s="45" t="e">
        <f t="shared" si="11"/>
        <v>#VALUE!</v>
      </c>
      <c r="W108" s="46" t="e">
        <f t="shared" si="12"/>
        <v>#VALUE!</v>
      </c>
      <c r="X108" s="47" t="e">
        <f t="shared" si="13"/>
        <v>#VALUE!</v>
      </c>
      <c r="Y108" s="46" t="e">
        <f t="shared" si="14"/>
        <v>#VALUE!</v>
      </c>
      <c r="Z108" s="48" t="e">
        <f t="shared" si="15"/>
        <v>#VALUE!</v>
      </c>
      <c r="AA108" s="49" t="e">
        <f t="shared" si="16"/>
        <v>#VALUE!</v>
      </c>
      <c r="AB108" s="39"/>
      <c r="AC108" s="39"/>
      <c r="AD108" s="39"/>
      <c r="AE108" s="39"/>
      <c r="AF108" s="39"/>
      <c r="AG108" s="39"/>
    </row>
    <row r="109" spans="1:33" s="50" customFormat="1" ht="15" hidden="1" x14ac:dyDescent="0.2">
      <c r="A109" s="51" t="s">
        <v>140</v>
      </c>
      <c r="B109" s="51"/>
      <c r="C109" s="65" t="str">
        <f>IFERROR(INDEX('[1]Balanza Egresos'!A$1:C$65536,MATCH(A109,'[1]Balanza Egresos'!A$1:A$65536,0),2),"SIN CUENTA")</f>
        <v>SIN CUENTA</v>
      </c>
      <c r="D109" s="53" t="e">
        <f>IF($P109="A",SUMIFS(D110:D$181,$A110:$A$181,LEFT($A109,$Q109)&amp;"*",$P110:$P$181,"R"),SUMIFS('[1]Balanza Egresos'!$F$1:$F$65536,'[1]Balanza Egresos'!$A$1:$A$65536,$A109))</f>
        <v>#VALUE!</v>
      </c>
      <c r="E109" s="53" t="e">
        <f>IF($P109="A",SUMIFS(E110:E$181,$A110:$A$181,LEFT($A109,$Q109)&amp;"*",$P110:$P$181,"R"),((H109/[1]Parametros!$E$12)*12)+$I109)</f>
        <v>#VALUE!</v>
      </c>
      <c r="F109" s="37">
        <f>IF($P109="A",SUMIFS(F110:F$181,$A110:$A$181,LEFT($A109,$Q109)&amp;"*",$P110:$P$181,"R"),K109+L109+M109+N109+O109)</f>
        <v>0</v>
      </c>
      <c r="G109" s="58"/>
      <c r="H109" s="59" t="e">
        <f>IF($P109="A",SUMIFS(H110:H$181,$A110:$A$181,LEFT($A109,$Q109)&amp;"*",$P110:$P$181,"R"),SUMIFS('[1]Balanza Egresos'!$V$1:$V$65536,'[1]Balanza Egresos'!$A$1:$A$65536,$A109))</f>
        <v>#VALUE!</v>
      </c>
      <c r="I109" s="66"/>
      <c r="J109" s="39"/>
      <c r="K109" s="61">
        <f>IF($P109="A",SUMIFS(K110:K$181,$A110:$A$181,LEFT($A109,$Q109)&amp;"*",$P110:$P$181,"R"),0)</f>
        <v>0</v>
      </c>
      <c r="L109" s="61">
        <f>IF($P109="A",SUMIFS(L110:L$181,$A110:$A$181,LEFT($A109,$Q109)&amp;"*",$P110:$P$181,"R"),0)</f>
        <v>0</v>
      </c>
      <c r="M109" s="61">
        <f>IF($P109="A",SUMIFS(M110:M$181,$A110:$A$181,LEFT($A109,$Q109)&amp;"*",$P110:$P$181,"R"),0)</f>
        <v>0</v>
      </c>
      <c r="N109" s="61">
        <f>IF($P109="A",SUMIFS(N110:N$181,$A110:$A$181,LEFT($A109,$Q109)&amp;"*",$P110:$P$181,"R"),0)</f>
        <v>0</v>
      </c>
      <c r="O109" s="61">
        <f>IF($P109="A",SUMIFS(O110:O$181,$A110:$A$181,LEFT($A109,$Q109)&amp;"*",$P110:$P$181,"R"),0)</f>
        <v>0</v>
      </c>
      <c r="P109" s="41" t="str">
        <f t="shared" si="17"/>
        <v>R</v>
      </c>
      <c r="Q109" s="41">
        <f t="shared" si="18"/>
        <v>4</v>
      </c>
      <c r="R109" s="55" t="e">
        <f t="shared" si="10"/>
        <v>#VALUE!</v>
      </c>
      <c r="S109" s="56"/>
      <c r="T109" s="57"/>
      <c r="U109" s="6"/>
      <c r="V109" s="45"/>
      <c r="W109" s="46"/>
      <c r="X109" s="47"/>
      <c r="Y109" s="46"/>
      <c r="Z109" s="48"/>
      <c r="AA109" s="49"/>
      <c r="AB109" s="39"/>
      <c r="AC109" s="39"/>
      <c r="AD109" s="39"/>
      <c r="AE109" s="39"/>
      <c r="AF109" s="39"/>
      <c r="AG109" s="39"/>
    </row>
    <row r="110" spans="1:33" s="50" customFormat="1" ht="15" hidden="1" x14ac:dyDescent="0.2">
      <c r="A110" s="51" t="s">
        <v>141</v>
      </c>
      <c r="B110" s="51"/>
      <c r="C110" s="65" t="str">
        <f>IFERROR(INDEX('[1]Balanza Egresos'!A$1:C$65536,MATCH(A110,'[1]Balanza Egresos'!A$1:A$65536,0),2),"SIN CUENTA")</f>
        <v>SIN CUENTA</v>
      </c>
      <c r="D110" s="53" t="e">
        <f>IF($P110="A",SUMIFS(D111:D$181,$A111:$A$181,LEFT($A110,$Q110)&amp;"*",$P111:$P$181,"R"),SUMIFS('[1]Balanza Egresos'!$F$1:$F$65536,'[1]Balanza Egresos'!$A$1:$A$65536,$A110))</f>
        <v>#VALUE!</v>
      </c>
      <c r="E110" s="53" t="e">
        <f>IF($P110="A",SUMIFS(E111:E$181,$A111:$A$181,LEFT($A110,$Q110)&amp;"*",$P111:$P$181,"R"),((H110/[1]Parametros!$E$12)*12)+$I110)</f>
        <v>#VALUE!</v>
      </c>
      <c r="F110" s="37">
        <f>IF($P110="A",SUMIFS(F111:F$181,$A111:$A$181,LEFT($A110,$Q110)&amp;"*",$P111:$P$181,"R"),K110+L110+M110+N110+O110)</f>
        <v>0</v>
      </c>
      <c r="G110" s="58"/>
      <c r="H110" s="59" t="e">
        <f>IF($P110="A",SUMIFS(H111:H$181,$A111:$A$181,LEFT($A110,$Q110)&amp;"*",$P111:$P$181,"R"),SUMIFS('[1]Balanza Egresos'!$V$1:$V$65536,'[1]Balanza Egresos'!$A$1:$A$65536,$A110))</f>
        <v>#VALUE!</v>
      </c>
      <c r="I110" s="66"/>
      <c r="J110" s="39"/>
      <c r="K110" s="61">
        <f>IF($P110="A",SUMIFS(K111:K$181,$A111:$A$181,LEFT($A110,$Q110)&amp;"*",$P111:$P$181,"R"),0)</f>
        <v>0</v>
      </c>
      <c r="L110" s="61">
        <f>IF($P110="A",SUMIFS(L111:L$181,$A111:$A$181,LEFT($A110,$Q110)&amp;"*",$P111:$P$181,"R"),0)</f>
        <v>0</v>
      </c>
      <c r="M110" s="61">
        <f>IF($P110="A",SUMIFS(M111:M$181,$A111:$A$181,LEFT($A110,$Q110)&amp;"*",$P111:$P$181,"R"),0)</f>
        <v>0</v>
      </c>
      <c r="N110" s="61">
        <f>IF($P110="A",SUMIFS(N111:N$181,$A111:$A$181,LEFT($A110,$Q110)&amp;"*",$P111:$P$181,"R"),0)</f>
        <v>0</v>
      </c>
      <c r="O110" s="61">
        <f>IF($P110="A",SUMIFS(O111:O$181,$A111:$A$181,LEFT($A110,$Q110)&amp;"*",$P111:$P$181,"R"),0)</f>
        <v>0</v>
      </c>
      <c r="P110" s="41" t="str">
        <f t="shared" si="17"/>
        <v>R</v>
      </c>
      <c r="Q110" s="41">
        <f t="shared" si="18"/>
        <v>4</v>
      </c>
      <c r="R110" s="55" t="e">
        <f t="shared" si="10"/>
        <v>#VALUE!</v>
      </c>
      <c r="S110" s="56"/>
      <c r="T110" s="57"/>
      <c r="U110" s="6"/>
      <c r="V110" s="45"/>
      <c r="W110" s="46"/>
      <c r="X110" s="47"/>
      <c r="Y110" s="46"/>
      <c r="Z110" s="48"/>
      <c r="AA110" s="49"/>
      <c r="AB110" s="39"/>
      <c r="AC110" s="39"/>
      <c r="AD110" s="39"/>
      <c r="AE110" s="39"/>
      <c r="AF110" s="39"/>
      <c r="AG110" s="39"/>
    </row>
    <row r="111" spans="1:33" s="50" customFormat="1" ht="15" hidden="1" x14ac:dyDescent="0.2">
      <c r="A111" s="51" t="s">
        <v>142</v>
      </c>
      <c r="B111" s="51"/>
      <c r="C111" s="65" t="str">
        <f>IFERROR(INDEX('[1]Balanza Egresos'!A$1:C$65536,MATCH(A111,'[1]Balanza Egresos'!A$1:A$65536,0),2),"SIN CUENTA")</f>
        <v>SIN CUENTA</v>
      </c>
      <c r="D111" s="53" t="e">
        <f>IF($P111="A",SUMIFS(D112:D$181,$A112:$A$181,LEFT($A111,$Q111)&amp;"*",$P112:$P$181,"R"),SUMIFS('[1]Balanza Egresos'!$F$1:$F$65536,'[1]Balanza Egresos'!$A$1:$A$65536,$A111))</f>
        <v>#VALUE!</v>
      </c>
      <c r="E111" s="53" t="e">
        <f>IF($P111="A",SUMIFS(E112:E$181,$A112:$A$181,LEFT($A111,$Q111)&amp;"*",$P112:$P$181,"R"),((H111/[1]Parametros!$E$12)*12)+$I111)</f>
        <v>#VALUE!</v>
      </c>
      <c r="F111" s="37">
        <f>IF($P111="A",SUMIFS(F112:F$181,$A112:$A$181,LEFT($A111,$Q111)&amp;"*",$P112:$P$181,"R"),K111+L111+M111+N111+O111)</f>
        <v>0</v>
      </c>
      <c r="G111" s="58"/>
      <c r="H111" s="59" t="e">
        <f>IF($P111="A",SUMIFS(H112:H$181,$A112:$A$181,LEFT($A111,$Q111)&amp;"*",$P112:$P$181,"R"),SUMIFS('[1]Balanza Egresos'!$V$1:$V$65536,'[1]Balanza Egresos'!$A$1:$A$65536,$A111))</f>
        <v>#VALUE!</v>
      </c>
      <c r="I111" s="66"/>
      <c r="J111" s="39"/>
      <c r="K111" s="61">
        <f>IF($P111="A",SUMIFS(K112:K$181,$A112:$A$181,LEFT($A111,$Q111)&amp;"*",$P112:$P$181,"R"),0)</f>
        <v>0</v>
      </c>
      <c r="L111" s="61">
        <f>IF($P111="A",SUMIFS(L112:L$181,$A112:$A$181,LEFT($A111,$Q111)&amp;"*",$P112:$P$181,"R"),0)</f>
        <v>0</v>
      </c>
      <c r="M111" s="61">
        <f>IF($P111="A",SUMIFS(M112:M$181,$A112:$A$181,LEFT($A111,$Q111)&amp;"*",$P112:$P$181,"R"),0)</f>
        <v>0</v>
      </c>
      <c r="N111" s="61">
        <f>IF($P111="A",SUMIFS(N112:N$181,$A112:$A$181,LEFT($A111,$Q111)&amp;"*",$P112:$P$181,"R"),0)</f>
        <v>0</v>
      </c>
      <c r="O111" s="61">
        <f>IF($P111="A",SUMIFS(O112:O$181,$A112:$A$181,LEFT($A111,$Q111)&amp;"*",$P112:$P$181,"R"),0)</f>
        <v>0</v>
      </c>
      <c r="P111" s="41" t="str">
        <f t="shared" si="17"/>
        <v>R</v>
      </c>
      <c r="Q111" s="41">
        <f t="shared" si="18"/>
        <v>4</v>
      </c>
      <c r="R111" s="55" t="e">
        <f t="shared" si="10"/>
        <v>#VALUE!</v>
      </c>
      <c r="S111" s="56"/>
      <c r="T111" s="57"/>
      <c r="U111" s="6"/>
      <c r="V111" s="45"/>
      <c r="W111" s="46"/>
      <c r="X111" s="47"/>
      <c r="Y111" s="46"/>
      <c r="Z111" s="48"/>
      <c r="AA111" s="49"/>
      <c r="AB111" s="39"/>
      <c r="AC111" s="39"/>
      <c r="AD111" s="39"/>
      <c r="AE111" s="39"/>
      <c r="AF111" s="39"/>
      <c r="AG111" s="39"/>
    </row>
    <row r="112" spans="1:33" s="50" customFormat="1" ht="15" x14ac:dyDescent="0.2">
      <c r="A112" s="51" t="s">
        <v>143</v>
      </c>
      <c r="B112" s="51"/>
      <c r="C112" s="65" t="str">
        <f>IFERROR(INDEX('[1]Balanza Egresos'!A$1:C$65536,MATCH(A112,'[1]Balanza Egresos'!A$1:A$65536,0),2),"SIN CUENTA")</f>
        <v>ACTIVOS INTANGIBLES</v>
      </c>
      <c r="D112" s="53" t="e">
        <f>IF($P112="A",SUMIFS(D113:D$181,$A113:$A$181,LEFT($A112,$Q112)&amp;"*",$P113:$P$181,"R"),SUMIFS('[1]Balanza Egresos'!$F$1:$F$65536,'[1]Balanza Egresos'!$A$1:$A$65536,$A112))</f>
        <v>#VALUE!</v>
      </c>
      <c r="E112" s="53" t="e">
        <f>IF($P112="A",SUMIFS(E113:E$181,$A113:$A$181,LEFT($A112,$Q112)&amp;"*",$P113:$P$181,"R"),((H112/[1]Parametros!$E$12)*12)+$I112)</f>
        <v>#VALUE!</v>
      </c>
      <c r="F112" s="37">
        <f>IF($P112="A",SUMIFS(F113:F$181,$A113:$A$181,LEFT($A112,$Q112)&amp;"*",$P113:$P$181,"R"),K112+L112+M112+N112)</f>
        <v>0</v>
      </c>
      <c r="G112" s="62"/>
      <c r="H112" s="59" t="e">
        <f>IF($P112="A",SUMIFS(H113:H$181,$A113:$A$181,LEFT($A112,$Q112)&amp;"*",$P113:$P$181,"R"),SUMIFS('[1]Balanza Egresos'!$V$1:$V$65536,'[1]Balanza Egresos'!$A$1:$A$65536,$A112))</f>
        <v>#VALUE!</v>
      </c>
      <c r="I112" s="66"/>
      <c r="J112" s="39"/>
      <c r="K112" s="61">
        <f>IF($P112="A",SUMIFS(K113:K$181,$A113:$A$181,LEFT($A112,$Q112)&amp;"*",$P113:$P$181,"R"),0)</f>
        <v>0</v>
      </c>
      <c r="L112" s="61">
        <f>IF($P112="A",SUMIFS(L113:L$181,$A113:$A$181,LEFT($A112,$Q112)&amp;"*",$P113:$P$181,"R"),0)</f>
        <v>0</v>
      </c>
      <c r="M112" s="61">
        <f>IF($P112="A",SUMIFS(M113:M$181,$A113:$A$181,LEFT($A112,$Q112)&amp;"*",$P113:$P$181,"R"),0)</f>
        <v>0</v>
      </c>
      <c r="N112" s="61">
        <f>IF($P112="A",SUMIFS(N113:N$181,$A113:$A$181,LEFT($A112,$Q112)&amp;"*",$P113:$P$181,"R"),0)</f>
        <v>0</v>
      </c>
      <c r="O112" s="61">
        <f>IF($P112="A",SUMIFS(O113:O$181,$A113:$A$181,LEFT($A112,$Q112)&amp;"*",$P113:$P$181,"R"),0)</f>
        <v>0</v>
      </c>
      <c r="P112" s="41" t="str">
        <f t="shared" si="17"/>
        <v>A</v>
      </c>
      <c r="Q112" s="41">
        <f t="shared" si="18"/>
        <v>2</v>
      </c>
      <c r="R112" s="55" t="e">
        <f t="shared" si="10"/>
        <v>#VALUE!</v>
      </c>
      <c r="S112" s="56"/>
      <c r="T112" s="57"/>
      <c r="U112" s="6"/>
      <c r="V112" s="45"/>
      <c r="W112" s="46"/>
      <c r="X112" s="47"/>
      <c r="Y112" s="46"/>
      <c r="Z112" s="48"/>
      <c r="AA112" s="49"/>
      <c r="AB112" s="39"/>
      <c r="AC112" s="39"/>
      <c r="AD112" s="39"/>
      <c r="AE112" s="39"/>
      <c r="AF112" s="39"/>
      <c r="AG112" s="39"/>
    </row>
    <row r="113" spans="1:33" s="50" customFormat="1" ht="15" x14ac:dyDescent="0.2">
      <c r="A113" s="51" t="s">
        <v>144</v>
      </c>
      <c r="B113" s="51"/>
      <c r="C113" s="65" t="str">
        <f>IFERROR(INDEX('[1]Balanza Egresos'!A$1:C$65536,MATCH(A113,'[1]Balanza Egresos'!A$1:A$65536,0),2),"SIN CUENTA")</f>
        <v xml:space="preserve">  Software</v>
      </c>
      <c r="D113" s="53" t="e">
        <f>IF($P113="A",SUMIFS(D114:D$181,$A114:$A$181,LEFT($A113,$Q113)&amp;"*",$P114:$P$181,"R"),SUMIFS('[1]Balanza Egresos'!$F$1:$F$65536,'[1]Balanza Egresos'!$A$1:$A$65536,$A113))</f>
        <v>#VALUE!</v>
      </c>
      <c r="E113" s="53" t="e">
        <f>IF($P113="A",SUMIFS(E114:E$181,$A114:$A$181,LEFT($A113,$Q113)&amp;"*",$P114:$P$181,"R"),((H113/[1]Parametros!$E$12)*12)+$I113)</f>
        <v>#VALUE!</v>
      </c>
      <c r="F113" s="37">
        <f>IF($P113="A",SUMIFS(F114:F$181,$A114:$A$181,LEFT($A113,$Q113)&amp;"*",$P114:$P$181,"R"),K113+L113+M113+N113)</f>
        <v>0</v>
      </c>
      <c r="G113" s="62"/>
      <c r="H113" s="59" t="e">
        <f>IF($P113="A",SUMIFS(H114:H$181,$A114:$A$181,LEFT($A113,$Q113)&amp;"*",$P114:$P$181,"R"),SUMIFS('[1]Balanza Egresos'!$V$1:$V$65536,'[1]Balanza Egresos'!$A$1:$A$65536,$A113))</f>
        <v>#VALUE!</v>
      </c>
      <c r="I113" s="66"/>
      <c r="J113" s="39"/>
      <c r="K113" s="61">
        <f>IF($P113="A",SUMIFS(K114:K$181,$A114:$A$181,LEFT($A113,$Q113)&amp;"*",$P114:$P$181,"R"),0)</f>
        <v>0</v>
      </c>
      <c r="L113" s="61">
        <f>IF($P113="A",SUMIFS(L114:L$181,$A114:$A$181,LEFT($A113,$Q113)&amp;"*",$P114:$P$181,"R"),0)</f>
        <v>0</v>
      </c>
      <c r="M113" s="61">
        <f>IF($P113="A",SUMIFS(M114:M$181,$A114:$A$181,LEFT($A113,$Q113)&amp;"*",$P114:$P$181,"R"),0)</f>
        <v>0</v>
      </c>
      <c r="N113" s="61">
        <f>IF($P113="A",SUMIFS(N114:N$181,$A114:$A$181,LEFT($A113,$Q113)&amp;"*",$P114:$P$181,"R"),0)</f>
        <v>0</v>
      </c>
      <c r="O113" s="61">
        <f>IF($P113="A",SUMIFS(O114:O$181,$A114:$A$181,LEFT($A113,$Q113)&amp;"*",$P114:$P$181,"R"),0)</f>
        <v>0</v>
      </c>
      <c r="P113" s="41" t="str">
        <f t="shared" si="17"/>
        <v>A</v>
      </c>
      <c r="Q113" s="41">
        <f t="shared" si="18"/>
        <v>3</v>
      </c>
      <c r="R113" s="55" t="e">
        <f t="shared" si="10"/>
        <v>#VALUE!</v>
      </c>
      <c r="S113" s="56"/>
      <c r="T113" s="57"/>
      <c r="U113" s="6"/>
      <c r="V113" s="45"/>
      <c r="W113" s="46"/>
      <c r="X113" s="47"/>
      <c r="Y113" s="46"/>
      <c r="Z113" s="48"/>
      <c r="AA113" s="49"/>
      <c r="AB113" s="39"/>
      <c r="AC113" s="39"/>
      <c r="AD113" s="39"/>
      <c r="AE113" s="39"/>
      <c r="AF113" s="39"/>
      <c r="AG113" s="39"/>
    </row>
    <row r="114" spans="1:33" s="50" customFormat="1" ht="15" x14ac:dyDescent="0.2">
      <c r="A114" s="51" t="s">
        <v>145</v>
      </c>
      <c r="B114" s="51"/>
      <c r="C114" s="65" t="str">
        <f>IFERROR(INDEX('[1]Balanza Egresos'!A$1:C$65536,MATCH(A114,'[1]Balanza Egresos'!A$1:A$65536,0),2),"SIN CUENTA")</f>
        <v xml:space="preserve">  Software</v>
      </c>
      <c r="D114" s="53" t="e">
        <f>IF($P114="A",SUMIFS(D115:D$181,$A115:$A$181,LEFT($A114,$Q114)&amp;"*",$P115:$P$181,"R"),SUMIFS('[1]Balanza Egresos'!$F$1:$F$65536,'[1]Balanza Egresos'!$A$1:$A$65536,$A114))</f>
        <v>#VALUE!</v>
      </c>
      <c r="E114" s="53" t="e">
        <f>IF($P114="A",SUMIFS(E115:E$181,$A115:$A$181,LEFT($A114,$Q114)&amp;"*",$P115:$P$181,"R"),((H114/[1]Parametros!$E$12)*12)+$I114)</f>
        <v>#VALUE!</v>
      </c>
      <c r="F114" s="37">
        <f>IF($P114="A",SUMIFS(F115:F$181,$A115:$A$181,LEFT($A114,$Q114)&amp;"*",$P115:$P$181,"R"),K114+L114+M114+N114+O114)</f>
        <v>0</v>
      </c>
      <c r="G114" s="62"/>
      <c r="H114" s="59" t="e">
        <f>IF($P114="A",SUMIFS(H115:H$181,$A115:$A$181,LEFT($A114,$Q114)&amp;"*",$P115:$P$181,"R"),SUMIFS('[1]Balanza Egresos'!$V$1:$V$65536,'[1]Balanza Egresos'!$A$1:$A$65536,$A114))</f>
        <v>#VALUE!</v>
      </c>
      <c r="I114" s="66" t="e">
        <f>D114</f>
        <v>#VALUE!</v>
      </c>
      <c r="J114" s="39"/>
      <c r="K114" s="61">
        <f>IF($P114="A",SUMIFS(K115:K$181,$A115:$A$181,LEFT($A114,$Q114)&amp;"*",$P115:$P$181,"R"),0)</f>
        <v>0</v>
      </c>
      <c r="L114" s="61">
        <f>IF($P114="A",SUMIFS(L115:L$181,$A115:$A$181,LEFT($A114,$Q114)&amp;"*",$P115:$P$181,"R"),0)</f>
        <v>0</v>
      </c>
      <c r="M114" s="61">
        <f>IF($P114="A",SUMIFS(M115:M$181,$A115:$A$181,LEFT($A114,$Q114)&amp;"*",$P115:$P$181,"R"),0)</f>
        <v>0</v>
      </c>
      <c r="N114" s="61">
        <f>IF($P114="A",SUMIFS(N115:N$181,$A115:$A$181,LEFT($A114,$Q114)&amp;"*",$P115:$P$181,"R"),0)</f>
        <v>0</v>
      </c>
      <c r="O114" s="61">
        <f>IF($P114="A",SUMIFS(O115:O$181,$A115:$A$181,LEFT($A114,$Q114)&amp;"*",$P115:$P$181,"R"),0)</f>
        <v>0</v>
      </c>
      <c r="P114" s="41" t="str">
        <f t="shared" si="17"/>
        <v>R</v>
      </c>
      <c r="Q114" s="41">
        <f t="shared" si="18"/>
        <v>4</v>
      </c>
      <c r="R114" s="55" t="e">
        <f t="shared" si="10"/>
        <v>#VALUE!</v>
      </c>
      <c r="S114" s="56"/>
      <c r="T114" s="57"/>
      <c r="U114" s="6"/>
      <c r="V114" s="45"/>
      <c r="W114" s="46"/>
      <c r="X114" s="47"/>
      <c r="Y114" s="46"/>
      <c r="Z114" s="48"/>
      <c r="AA114" s="49"/>
      <c r="AB114" s="39"/>
      <c r="AC114" s="39"/>
      <c r="AD114" s="39"/>
      <c r="AE114" s="39"/>
      <c r="AF114" s="39"/>
      <c r="AG114" s="39"/>
    </row>
    <row r="115" spans="1:33" s="50" customFormat="1" ht="15" hidden="1" x14ac:dyDescent="0.2">
      <c r="A115" s="51" t="s">
        <v>146</v>
      </c>
      <c r="B115" s="51"/>
      <c r="C115" s="65" t="str">
        <f>IFERROR(INDEX('[1]Balanza Egresos'!A$1:C$65536,MATCH(A115,'[1]Balanza Egresos'!A$1:A$65536,0),2),"SIN CUENTA")</f>
        <v>SIN CUENTA</v>
      </c>
      <c r="D115" s="53" t="e">
        <f>IF($P115="A",SUMIFS(D116:D$181,$A116:$A$181,LEFT($A115,$Q115)&amp;"*",$P116:$P$181,"R"),SUMIFS('[1]Balanza Egresos'!$F$1:$F$65536,'[1]Balanza Egresos'!$A$1:$A$65536,$A115))</f>
        <v>#VALUE!</v>
      </c>
      <c r="E115" s="53" t="e">
        <f>IF($P115="A",SUMIFS(E116:E$181,$A116:$A$181,LEFT($A115,$Q115)&amp;"*",$P116:$P$181,"R"),((H115/[1]Parametros!$E$12)*12)+$I115)</f>
        <v>#VALUE!</v>
      </c>
      <c r="F115" s="37">
        <f>IF($P115="A",SUMIFS(F116:F$181,$A116:$A$181,LEFT($A115,$Q115)&amp;"*",$P116:$P$181,"R"),K115+L115+M115+N115)</f>
        <v>0</v>
      </c>
      <c r="G115" s="58"/>
      <c r="H115" s="59" t="e">
        <f>IF($P115="A",SUMIFS(H116:H$181,$A116:$A$181,LEFT($A115,$Q115)&amp;"*",$P116:$P$181,"R"),SUMIFS('[1]Balanza Egresos'!$V$1:$V$65536,'[1]Balanza Egresos'!$A$1:$A$65536,$A115))</f>
        <v>#VALUE!</v>
      </c>
      <c r="I115" s="66"/>
      <c r="J115" s="39"/>
      <c r="K115" s="61">
        <f>IF($P115="A",SUMIFS(K116:K$181,$A116:$A$181,LEFT($A115,$Q115)&amp;"*",$P116:$P$181,"R"),0)</f>
        <v>0</v>
      </c>
      <c r="L115" s="61">
        <f>IF($P115="A",SUMIFS(L116:L$181,$A116:$A$181,LEFT($A115,$Q115)&amp;"*",$P116:$P$181,"R"),0)</f>
        <v>0</v>
      </c>
      <c r="M115" s="61">
        <f>IF($P115="A",SUMIFS(M116:M$181,$A116:$A$181,LEFT($A115,$Q115)&amp;"*",$P116:$P$181,"R"),0)</f>
        <v>0</v>
      </c>
      <c r="N115" s="61">
        <f>IF($P115="A",SUMIFS(N116:N$181,$A116:$A$181,LEFT($A115,$Q115)&amp;"*",$P116:$P$181,"R"),0)</f>
        <v>0</v>
      </c>
      <c r="O115" s="61">
        <f>IF($P115="A",SUMIFS(O116:O$181,$A116:$A$181,LEFT($A115,$Q115)&amp;"*",$P116:$P$181,"R"),0)</f>
        <v>0</v>
      </c>
      <c r="P115" s="41" t="str">
        <f t="shared" si="17"/>
        <v>A</v>
      </c>
      <c r="Q115" s="41">
        <f t="shared" si="18"/>
        <v>3</v>
      </c>
      <c r="R115" s="55" t="e">
        <f t="shared" si="10"/>
        <v>#VALUE!</v>
      </c>
      <c r="S115" s="56"/>
      <c r="T115" s="57"/>
      <c r="U115" s="6"/>
      <c r="V115" s="45"/>
      <c r="W115" s="46"/>
      <c r="X115" s="47"/>
      <c r="Y115" s="46"/>
      <c r="Z115" s="48"/>
      <c r="AA115" s="49"/>
      <c r="AB115" s="39"/>
      <c r="AC115" s="39"/>
      <c r="AD115" s="39"/>
      <c r="AE115" s="39"/>
      <c r="AF115" s="39"/>
      <c r="AG115" s="39"/>
    </row>
    <row r="116" spans="1:33" s="50" customFormat="1" ht="15" hidden="1" x14ac:dyDescent="0.2">
      <c r="A116" s="51" t="s">
        <v>147</v>
      </c>
      <c r="B116" s="51"/>
      <c r="C116" s="65" t="str">
        <f>IFERROR(INDEX('[1]Balanza Egresos'!A$1:C$65536,MATCH(A116,'[1]Balanza Egresos'!A$1:A$65536,0),2),"SIN CUENTA")</f>
        <v>SIN CUENTA</v>
      </c>
      <c r="D116" s="53" t="e">
        <f>IF($P116="A",SUMIFS(D117:D$181,$A117:$A$181,LEFT($A116,$Q116)&amp;"*",$P117:$P$181,"R"),SUMIFS('[1]Balanza Egresos'!$F$1:$F$65536,'[1]Balanza Egresos'!$A$1:$A$65536,$A116))</f>
        <v>#VALUE!</v>
      </c>
      <c r="E116" s="53" t="e">
        <f>IF($P116="A",SUMIFS(E117:E$181,$A117:$A$181,LEFT($A116,$Q116)&amp;"*",$P117:$P$181,"R"),((H116/[1]Parametros!$E$12)*12)+$I116)</f>
        <v>#VALUE!</v>
      </c>
      <c r="F116" s="37">
        <f>IF($P116="A",SUMIFS(F117:F$181,$A117:$A$181,LEFT($A116,$Q116)&amp;"*",$P117:$P$181,"R"),K116+L116+M116+N116+O116)</f>
        <v>0</v>
      </c>
      <c r="G116" s="58"/>
      <c r="H116" s="59" t="e">
        <f>IF($P116="A",SUMIFS(H117:H$181,$A117:$A$181,LEFT($A116,$Q116)&amp;"*",$P117:$P$181,"R"),SUMIFS('[1]Balanza Egresos'!$V$1:$V$65536,'[1]Balanza Egresos'!$A$1:$A$65536,$A116))</f>
        <v>#VALUE!</v>
      </c>
      <c r="I116" s="66"/>
      <c r="J116" s="39"/>
      <c r="K116" s="61">
        <f>IF($P116="A",SUMIFS(K117:K$181,$A117:$A$181,LEFT($A116,$Q116)&amp;"*",$P117:$P$181,"R"),0)</f>
        <v>0</v>
      </c>
      <c r="L116" s="61">
        <f>IF($P116="A",SUMIFS(L117:L$181,$A117:$A$181,LEFT($A116,$Q116)&amp;"*",$P117:$P$181,"R"),0)</f>
        <v>0</v>
      </c>
      <c r="M116" s="61">
        <f>IF($P116="A",SUMIFS(M117:M$181,$A117:$A$181,LEFT($A116,$Q116)&amp;"*",$P117:$P$181,"R"),0)</f>
        <v>0</v>
      </c>
      <c r="N116" s="61">
        <f>IF($P116="A",SUMIFS(N117:N$181,$A117:$A$181,LEFT($A116,$Q116)&amp;"*",$P117:$P$181,"R"),0)</f>
        <v>0</v>
      </c>
      <c r="O116" s="61">
        <f>IF($P116="A",SUMIFS(O117:O$181,$A117:$A$181,LEFT($A116,$Q116)&amp;"*",$P117:$P$181,"R"),0)</f>
        <v>0</v>
      </c>
      <c r="P116" s="41" t="str">
        <f t="shared" si="17"/>
        <v>R</v>
      </c>
      <c r="Q116" s="41">
        <f t="shared" si="18"/>
        <v>4</v>
      </c>
      <c r="R116" s="55" t="e">
        <f t="shared" si="10"/>
        <v>#VALUE!</v>
      </c>
      <c r="S116" s="56"/>
      <c r="T116" s="57"/>
      <c r="U116" s="6"/>
      <c r="V116" s="45"/>
      <c r="W116" s="46"/>
      <c r="X116" s="47"/>
      <c r="Y116" s="46"/>
      <c r="Z116" s="48"/>
      <c r="AA116" s="49"/>
      <c r="AB116" s="39"/>
      <c r="AC116" s="39"/>
      <c r="AD116" s="39"/>
      <c r="AE116" s="39"/>
      <c r="AF116" s="39"/>
      <c r="AG116" s="39"/>
    </row>
    <row r="117" spans="1:33" s="50" customFormat="1" ht="15" hidden="1" x14ac:dyDescent="0.2">
      <c r="A117" s="51" t="s">
        <v>148</v>
      </c>
      <c r="B117" s="51"/>
      <c r="C117" s="65" t="str">
        <f>IFERROR(INDEX('[1]Balanza Egresos'!A$1:C$65536,MATCH(A117,'[1]Balanza Egresos'!A$1:A$65536,0),2),"SIN CUENTA")</f>
        <v>SIN CUENTA</v>
      </c>
      <c r="D117" s="53" t="e">
        <f>IF($P117="A",SUMIFS(D118:D$181,$A118:$A$181,LEFT($A117,$Q117)&amp;"*",$P118:$P$181,"R"),SUMIFS('[1]Balanza Egresos'!$F$1:$F$65536,'[1]Balanza Egresos'!$A$1:$A$65536,$A117))</f>
        <v>#VALUE!</v>
      </c>
      <c r="E117" s="53" t="e">
        <f>IF($P117="A",SUMIFS(E118:E$181,$A118:$A$181,LEFT($A117,$Q117)&amp;"*",$P118:$P$181,"R"),((H117/[1]Parametros!$E$12)*12)+$I117)</f>
        <v>#VALUE!</v>
      </c>
      <c r="F117" s="37">
        <f>IF($P117="A",SUMIFS(F118:F$181,$A118:$A$181,LEFT($A117,$Q117)&amp;"*",$P118:$P$181,"R"),K117+L117+M117+N117)</f>
        <v>0</v>
      </c>
      <c r="G117" s="58"/>
      <c r="H117" s="59" t="e">
        <f>IF($P117="A",SUMIFS(H118:H$181,$A118:$A$181,LEFT($A117,$Q117)&amp;"*",$P118:$P$181,"R"),SUMIFS('[1]Balanza Egresos'!$V$1:$V$65536,'[1]Balanza Egresos'!$A$1:$A$65536,$A117))</f>
        <v>#VALUE!</v>
      </c>
      <c r="I117" s="66"/>
      <c r="J117" s="39"/>
      <c r="K117" s="61">
        <f>IF($P117="A",SUMIFS(K118:K$181,$A118:$A$181,LEFT($A117,$Q117)&amp;"*",$P118:$P$181,"R"),0)</f>
        <v>0</v>
      </c>
      <c r="L117" s="61">
        <f>IF($P117="A",SUMIFS(L118:L$181,$A118:$A$181,LEFT($A117,$Q117)&amp;"*",$P118:$P$181,"R"),0)</f>
        <v>0</v>
      </c>
      <c r="M117" s="61">
        <f>IF($P117="A",SUMIFS(M118:M$181,$A118:$A$181,LEFT($A117,$Q117)&amp;"*",$P118:$P$181,"R"),0)</f>
        <v>0</v>
      </c>
      <c r="N117" s="61">
        <f>IF($P117="A",SUMIFS(N118:N$181,$A118:$A$181,LEFT($A117,$Q117)&amp;"*",$P118:$P$181,"R"),0)</f>
        <v>0</v>
      </c>
      <c r="O117" s="61">
        <f>IF($P117="A",SUMIFS(O118:O$181,$A118:$A$181,LEFT($A117,$Q117)&amp;"*",$P118:$P$181,"R"),0)</f>
        <v>0</v>
      </c>
      <c r="P117" s="41" t="str">
        <f t="shared" si="17"/>
        <v>A</v>
      </c>
      <c r="Q117" s="41">
        <f t="shared" si="18"/>
        <v>3</v>
      </c>
      <c r="R117" s="55" t="e">
        <f t="shared" si="10"/>
        <v>#VALUE!</v>
      </c>
      <c r="S117" s="56"/>
      <c r="T117" s="57"/>
      <c r="U117" s="6"/>
      <c r="V117" s="45"/>
      <c r="W117" s="46"/>
      <c r="X117" s="47"/>
      <c r="Y117" s="46"/>
      <c r="Z117" s="48"/>
      <c r="AA117" s="49"/>
      <c r="AB117" s="39"/>
      <c r="AC117" s="39"/>
      <c r="AD117" s="39"/>
      <c r="AE117" s="39"/>
      <c r="AF117" s="39"/>
      <c r="AG117" s="39"/>
    </row>
    <row r="118" spans="1:33" s="50" customFormat="1" ht="15" hidden="1" x14ac:dyDescent="0.2">
      <c r="A118" s="51" t="s">
        <v>149</v>
      </c>
      <c r="B118" s="51"/>
      <c r="C118" s="65" t="str">
        <f>IFERROR(INDEX('[1]Balanza Egresos'!A$1:C$65536,MATCH(A118,'[1]Balanza Egresos'!A$1:A$65536,0),2),"SIN CUENTA")</f>
        <v>SIN CUENTA</v>
      </c>
      <c r="D118" s="53" t="e">
        <f>IF($P118="A",SUMIFS(D119:D$181,$A119:$A$181,LEFT($A118,$Q118)&amp;"*",$P119:$P$181,"R"),SUMIFS('[1]Balanza Egresos'!$F$1:$F$65536,'[1]Balanza Egresos'!$A$1:$A$65536,$A118))</f>
        <v>#VALUE!</v>
      </c>
      <c r="E118" s="53" t="e">
        <f>IF($P118="A",SUMIFS(E119:E$181,$A119:$A$181,LEFT($A118,$Q118)&amp;"*",$P119:$P$181,"R"),((H118/[1]Parametros!$E$12)*12)+$I118)</f>
        <v>#VALUE!</v>
      </c>
      <c r="F118" s="37">
        <f>IF($P118="A",SUMIFS(F119:F$181,$A119:$A$181,LEFT($A118,$Q118)&amp;"*",$P119:$P$181,"R"),K118+L118+M118+N118+O118)</f>
        <v>0</v>
      </c>
      <c r="G118" s="58"/>
      <c r="H118" s="59" t="e">
        <f>IF($P118="A",SUMIFS(H119:H$181,$A119:$A$181,LEFT($A118,$Q118)&amp;"*",$P119:$P$181,"R"),SUMIFS('[1]Balanza Egresos'!$V$1:$V$65536,'[1]Balanza Egresos'!$A$1:$A$65536,$A118))</f>
        <v>#VALUE!</v>
      </c>
      <c r="I118" s="66"/>
      <c r="J118" s="39"/>
      <c r="K118" s="61">
        <f>IF($P118="A",SUMIFS(K119:K$181,$A119:$A$181,LEFT($A118,$Q118)&amp;"*",$P119:$P$181,"R"),0)</f>
        <v>0</v>
      </c>
      <c r="L118" s="61">
        <f>IF($P118="A",SUMIFS(L119:L$181,$A119:$A$181,LEFT($A118,$Q118)&amp;"*",$P119:$P$181,"R"),0)</f>
        <v>0</v>
      </c>
      <c r="M118" s="61">
        <f>IF($P118="A",SUMIFS(M119:M$181,$A119:$A$181,LEFT($A118,$Q118)&amp;"*",$P119:$P$181,"R"),0)</f>
        <v>0</v>
      </c>
      <c r="N118" s="61">
        <f>IF($P118="A",SUMIFS(N119:N$181,$A119:$A$181,LEFT($A118,$Q118)&amp;"*",$P119:$P$181,"R"),0)</f>
        <v>0</v>
      </c>
      <c r="O118" s="61">
        <f>IF($P118="A",SUMIFS(O119:O$181,$A119:$A$181,LEFT($A118,$Q118)&amp;"*",$P119:$P$181,"R"),0)</f>
        <v>0</v>
      </c>
      <c r="P118" s="41" t="str">
        <f t="shared" si="17"/>
        <v>R</v>
      </c>
      <c r="Q118" s="41">
        <f t="shared" si="18"/>
        <v>4</v>
      </c>
      <c r="R118" s="55" t="e">
        <f t="shared" si="10"/>
        <v>#VALUE!</v>
      </c>
      <c r="S118" s="56"/>
      <c r="T118" s="57"/>
      <c r="U118" s="6"/>
      <c r="V118" s="45"/>
      <c r="W118" s="46"/>
      <c r="X118" s="47"/>
      <c r="Y118" s="46"/>
      <c r="Z118" s="48"/>
      <c r="AA118" s="49"/>
      <c r="AB118" s="39"/>
      <c r="AC118" s="39"/>
      <c r="AD118" s="39"/>
      <c r="AE118" s="39"/>
      <c r="AF118" s="39"/>
      <c r="AG118" s="39"/>
    </row>
    <row r="119" spans="1:33" s="50" customFormat="1" ht="15" hidden="1" x14ac:dyDescent="0.2">
      <c r="A119" s="51" t="s">
        <v>150</v>
      </c>
      <c r="B119" s="51"/>
      <c r="C119" s="65" t="str">
        <f>IFERROR(INDEX('[1]Balanza Egresos'!A$1:C$65536,MATCH(A119,'[1]Balanza Egresos'!A$1:A$65536,0),2),"SIN CUENTA")</f>
        <v>SIN CUENTA</v>
      </c>
      <c r="D119" s="53" t="e">
        <f>IF($P119="A",SUMIFS(D120:D$181,$A120:$A$181,LEFT($A119,$Q119)&amp;"*",$P120:$P$181,"R"),SUMIFS('[1]Balanza Egresos'!$F$1:$F$65536,'[1]Balanza Egresos'!$A$1:$A$65536,$A119))</f>
        <v>#VALUE!</v>
      </c>
      <c r="E119" s="53" t="e">
        <f>IF($P119="A",SUMIFS(E120:E$181,$A120:$A$181,LEFT($A119,$Q119)&amp;"*",$P120:$P$181,"R"),((H119/[1]Parametros!$E$12)*12)+$I119)</f>
        <v>#VALUE!</v>
      </c>
      <c r="F119" s="37">
        <f>IF($P119="A",SUMIFS(F120:F$181,$A120:$A$181,LEFT($A119,$Q119)&amp;"*",$P120:$P$181,"R"),K119+L119+M119+N119)</f>
        <v>0</v>
      </c>
      <c r="G119" s="58"/>
      <c r="H119" s="59" t="e">
        <f>IF($P119="A",SUMIFS(H120:H$181,$A120:$A$181,LEFT($A119,$Q119)&amp;"*",$P120:$P$181,"R"),SUMIFS('[1]Balanza Egresos'!$V$1:$V$65536,'[1]Balanza Egresos'!$A$1:$A$65536,$A119))</f>
        <v>#VALUE!</v>
      </c>
      <c r="I119" s="66"/>
      <c r="J119" s="39"/>
      <c r="K119" s="61">
        <f>IF($P119="A",SUMIFS(K120:K$181,$A120:$A$181,LEFT($A119,$Q119)&amp;"*",$P120:$P$181,"R"),0)</f>
        <v>0</v>
      </c>
      <c r="L119" s="61">
        <f>IF($P119="A",SUMIFS(L120:L$181,$A120:$A$181,LEFT($A119,$Q119)&amp;"*",$P120:$P$181,"R"),0)</f>
        <v>0</v>
      </c>
      <c r="M119" s="61">
        <f>IF($P119="A",SUMIFS(M120:M$181,$A120:$A$181,LEFT($A119,$Q119)&amp;"*",$P120:$P$181,"R"),0)</f>
        <v>0</v>
      </c>
      <c r="N119" s="61">
        <f>IF($P119="A",SUMIFS(N120:N$181,$A120:$A$181,LEFT($A119,$Q119)&amp;"*",$P120:$P$181,"R"),0)</f>
        <v>0</v>
      </c>
      <c r="O119" s="61">
        <f>IF($P119="A",SUMIFS(O120:O$181,$A120:$A$181,LEFT($A119,$Q119)&amp;"*",$P120:$P$181,"R"),0)</f>
        <v>0</v>
      </c>
      <c r="P119" s="41" t="str">
        <f t="shared" si="17"/>
        <v>A</v>
      </c>
      <c r="Q119" s="41">
        <f t="shared" si="18"/>
        <v>3</v>
      </c>
      <c r="R119" s="55" t="e">
        <f t="shared" si="10"/>
        <v>#VALUE!</v>
      </c>
      <c r="S119" s="56"/>
      <c r="T119" s="57"/>
      <c r="U119" s="6"/>
      <c r="V119" s="45"/>
      <c r="W119" s="46"/>
      <c r="X119" s="47"/>
      <c r="Y119" s="46"/>
      <c r="Z119" s="48"/>
      <c r="AA119" s="49"/>
      <c r="AB119" s="39"/>
      <c r="AC119" s="39"/>
      <c r="AD119" s="39"/>
      <c r="AE119" s="39"/>
      <c r="AF119" s="39"/>
      <c r="AG119" s="39"/>
    </row>
    <row r="120" spans="1:33" s="50" customFormat="1" ht="15" hidden="1" x14ac:dyDescent="0.2">
      <c r="A120" s="51" t="s">
        <v>151</v>
      </c>
      <c r="B120" s="51"/>
      <c r="C120" s="65" t="str">
        <f>IFERROR(INDEX('[1]Balanza Egresos'!A$1:C$65536,MATCH(A120,'[1]Balanza Egresos'!A$1:A$65536,0),2),"SIN CUENTA")</f>
        <v>SIN CUENTA</v>
      </c>
      <c r="D120" s="53" t="e">
        <f>IF($P120="A",SUMIFS(D121:D$181,$A121:$A$181,LEFT($A120,$Q120)&amp;"*",$P121:$P$181,"R"),SUMIFS('[1]Balanza Egresos'!$F$1:$F$65536,'[1]Balanza Egresos'!$A$1:$A$65536,$A120))</f>
        <v>#VALUE!</v>
      </c>
      <c r="E120" s="53" t="e">
        <f>IF($P120="A",SUMIFS(E121:E$181,$A121:$A$181,LEFT($A120,$Q120)&amp;"*",$P121:$P$181,"R"),((H120/[1]Parametros!$E$12)*12)+$I120)</f>
        <v>#VALUE!</v>
      </c>
      <c r="F120" s="37">
        <f>IF($P120="A",SUMIFS(F121:F$181,$A121:$A$181,LEFT($A120,$Q120)&amp;"*",$P121:$P$181,"R"),K120+L120+M120+N120+O120)</f>
        <v>0</v>
      </c>
      <c r="G120" s="58"/>
      <c r="H120" s="59" t="e">
        <f>IF($P120="A",SUMIFS(H121:H$181,$A121:$A$181,LEFT($A120,$Q120)&amp;"*",$P121:$P$181,"R"),SUMIFS('[1]Balanza Egresos'!$V$1:$V$65536,'[1]Balanza Egresos'!$A$1:$A$65536,$A120))</f>
        <v>#VALUE!</v>
      </c>
      <c r="I120" s="66"/>
      <c r="J120" s="39"/>
      <c r="K120" s="61">
        <f>IF($P120="A",SUMIFS(K121:K$181,$A121:$A$181,LEFT($A120,$Q120)&amp;"*",$P121:$P$181,"R"),0)</f>
        <v>0</v>
      </c>
      <c r="L120" s="61">
        <f>IF($P120="A",SUMIFS(L121:L$181,$A121:$A$181,LEFT($A120,$Q120)&amp;"*",$P121:$P$181,"R"),0)</f>
        <v>0</v>
      </c>
      <c r="M120" s="61">
        <f>IF($P120="A",SUMIFS(M121:M$181,$A121:$A$181,LEFT($A120,$Q120)&amp;"*",$P121:$P$181,"R"),0)</f>
        <v>0</v>
      </c>
      <c r="N120" s="61">
        <f>IF($P120="A",SUMIFS(N121:N$181,$A121:$A$181,LEFT($A120,$Q120)&amp;"*",$P121:$P$181,"R"),0)</f>
        <v>0</v>
      </c>
      <c r="O120" s="61">
        <f>IF($P120="A",SUMIFS(O121:O$181,$A121:$A$181,LEFT($A120,$Q120)&amp;"*",$P121:$P$181,"R"),0)</f>
        <v>0</v>
      </c>
      <c r="P120" s="41" t="str">
        <f t="shared" si="17"/>
        <v>R</v>
      </c>
      <c r="Q120" s="41">
        <f t="shared" si="18"/>
        <v>4</v>
      </c>
      <c r="R120" s="55" t="e">
        <f t="shared" si="10"/>
        <v>#VALUE!</v>
      </c>
      <c r="S120" s="56"/>
      <c r="T120" s="57"/>
      <c r="U120" s="6"/>
      <c r="V120" s="45"/>
      <c r="W120" s="46"/>
      <c r="X120" s="47"/>
      <c r="Y120" s="46"/>
      <c r="Z120" s="48"/>
      <c r="AA120" s="49"/>
      <c r="AB120" s="39"/>
      <c r="AC120" s="39"/>
      <c r="AD120" s="39"/>
      <c r="AE120" s="39"/>
      <c r="AF120" s="39"/>
      <c r="AG120" s="39"/>
    </row>
    <row r="121" spans="1:33" s="50" customFormat="1" ht="15" hidden="1" x14ac:dyDescent="0.2">
      <c r="A121" s="51" t="s">
        <v>152</v>
      </c>
      <c r="B121" s="51"/>
      <c r="C121" s="65" t="str">
        <f>IFERROR(INDEX('[1]Balanza Egresos'!A$1:C$65536,MATCH(A121,'[1]Balanza Egresos'!A$1:A$65536,0),2),"SIN CUENTA")</f>
        <v>SIN CUENTA</v>
      </c>
      <c r="D121" s="53" t="e">
        <f>IF($P121="A",SUMIFS(D122:D$181,$A122:$A$181,LEFT($A121,$Q121)&amp;"*",$P122:$P$181,"R"),SUMIFS('[1]Balanza Egresos'!$F$1:$F$65536,'[1]Balanza Egresos'!$A$1:$A$65536,$A121))</f>
        <v>#VALUE!</v>
      </c>
      <c r="E121" s="53" t="e">
        <f>IF($P121="A",SUMIFS(E122:E$181,$A122:$A$181,LEFT($A121,$Q121)&amp;"*",$P122:$P$181,"R"),((H121/[1]Parametros!$E$12)*12)+$I121)</f>
        <v>#VALUE!</v>
      </c>
      <c r="F121" s="37">
        <f>IF($P121="A",SUMIFS(F122:F$181,$A122:$A$181,LEFT($A121,$Q121)&amp;"*",$P122:$P$181,"R"),K121+L121+M121+N121)</f>
        <v>0</v>
      </c>
      <c r="G121" s="58"/>
      <c r="H121" s="59" t="e">
        <f>IF($P121="A",SUMIFS(H122:H$181,$A122:$A$181,LEFT($A121,$Q121)&amp;"*",$P122:$P$181,"R"),SUMIFS('[1]Balanza Egresos'!$V$1:$V$65536,'[1]Balanza Egresos'!$A$1:$A$65536,$A121))</f>
        <v>#VALUE!</v>
      </c>
      <c r="I121" s="66"/>
      <c r="J121" s="39"/>
      <c r="K121" s="61">
        <f>IF($P121="A",SUMIFS(K122:K$181,$A122:$A$181,LEFT($A121,$Q121)&amp;"*",$P122:$P$181,"R"),0)</f>
        <v>0</v>
      </c>
      <c r="L121" s="61">
        <f>IF($P121="A",SUMIFS(L122:L$181,$A122:$A$181,LEFT($A121,$Q121)&amp;"*",$P122:$P$181,"R"),0)</f>
        <v>0</v>
      </c>
      <c r="M121" s="61">
        <f>IF($P121="A",SUMIFS(M122:M$181,$A122:$A$181,LEFT($A121,$Q121)&amp;"*",$P122:$P$181,"R"),0)</f>
        <v>0</v>
      </c>
      <c r="N121" s="61">
        <f>IF($P121="A",SUMIFS(N122:N$181,$A122:$A$181,LEFT($A121,$Q121)&amp;"*",$P122:$P$181,"R"),0)</f>
        <v>0</v>
      </c>
      <c r="O121" s="61">
        <f>IF($P121="A",SUMIFS(O122:O$181,$A122:$A$181,LEFT($A121,$Q121)&amp;"*",$P122:$P$181,"R"),0)</f>
        <v>0</v>
      </c>
      <c r="P121" s="41" t="str">
        <f t="shared" si="17"/>
        <v>A</v>
      </c>
      <c r="Q121" s="41">
        <f t="shared" si="18"/>
        <v>3</v>
      </c>
      <c r="R121" s="55" t="e">
        <f t="shared" si="10"/>
        <v>#VALUE!</v>
      </c>
      <c r="S121" s="56"/>
      <c r="T121" s="57"/>
      <c r="U121" s="6"/>
      <c r="V121" s="45"/>
      <c r="W121" s="46"/>
      <c r="X121" s="47"/>
      <c r="Y121" s="46"/>
      <c r="Z121" s="48"/>
      <c r="AA121" s="49"/>
      <c r="AB121" s="39"/>
      <c r="AC121" s="39"/>
      <c r="AD121" s="39"/>
      <c r="AE121" s="39"/>
      <c r="AF121" s="39"/>
      <c r="AG121" s="39"/>
    </row>
    <row r="122" spans="1:33" s="50" customFormat="1" ht="15" hidden="1" x14ac:dyDescent="0.2">
      <c r="A122" s="51" t="s">
        <v>153</v>
      </c>
      <c r="B122" s="51"/>
      <c r="C122" s="65" t="str">
        <f>IFERROR(INDEX('[1]Balanza Egresos'!A$1:C$65536,MATCH(A122,'[1]Balanza Egresos'!A$1:A$65536,0),2),"SIN CUENTA")</f>
        <v>SIN CUENTA</v>
      </c>
      <c r="D122" s="53" t="e">
        <f>IF($P122="A",SUMIFS(D123:D$181,$A123:$A$181,LEFT($A122,$Q122)&amp;"*",$P123:$P$181,"R"),SUMIFS('[1]Balanza Egresos'!$F$1:$F$65536,'[1]Balanza Egresos'!$A$1:$A$65536,$A122))</f>
        <v>#VALUE!</v>
      </c>
      <c r="E122" s="53" t="e">
        <f>IF($P122="A",SUMIFS(E123:E$181,$A123:$A$181,LEFT($A122,$Q122)&amp;"*",$P123:$P$181,"R"),((H122/[1]Parametros!$E$12)*12)+$I122)</f>
        <v>#VALUE!</v>
      </c>
      <c r="F122" s="37">
        <f>IF($P122="A",SUMIFS(F123:F$181,$A123:$A$181,LEFT($A122,$Q122)&amp;"*",$P123:$P$181,"R"),K122+L122+M122+N122+O122)</f>
        <v>0</v>
      </c>
      <c r="G122" s="58"/>
      <c r="H122" s="59" t="e">
        <f>IF($P122="A",SUMIFS(H123:H$181,$A123:$A$181,LEFT($A122,$Q122)&amp;"*",$P123:$P$181,"R"),SUMIFS('[1]Balanza Egresos'!$V$1:$V$65536,'[1]Balanza Egresos'!$A$1:$A$65536,$A122))</f>
        <v>#VALUE!</v>
      </c>
      <c r="I122" s="66"/>
      <c r="J122" s="39"/>
      <c r="K122" s="61">
        <f>IF($P122="A",SUMIFS(K123:K$181,$A123:$A$181,LEFT($A122,$Q122)&amp;"*",$P123:$P$181,"R"),0)</f>
        <v>0</v>
      </c>
      <c r="L122" s="61">
        <f>IF($P122="A",SUMIFS(L123:L$181,$A123:$A$181,LEFT($A122,$Q122)&amp;"*",$P123:$P$181,"R"),0)</f>
        <v>0</v>
      </c>
      <c r="M122" s="61">
        <f>IF($P122="A",SUMIFS(M123:M$181,$A123:$A$181,LEFT($A122,$Q122)&amp;"*",$P123:$P$181,"R"),0)</f>
        <v>0</v>
      </c>
      <c r="N122" s="61">
        <f>IF($P122="A",SUMIFS(N123:N$181,$A123:$A$181,LEFT($A122,$Q122)&amp;"*",$P123:$P$181,"R"),0)</f>
        <v>0</v>
      </c>
      <c r="O122" s="61">
        <f>IF($P122="A",SUMIFS(O123:O$181,$A123:$A$181,LEFT($A122,$Q122)&amp;"*",$P123:$P$181,"R"),0)</f>
        <v>0</v>
      </c>
      <c r="P122" s="41" t="str">
        <f t="shared" si="17"/>
        <v>R</v>
      </c>
      <c r="Q122" s="41">
        <f t="shared" si="18"/>
        <v>4</v>
      </c>
      <c r="R122" s="55" t="e">
        <f t="shared" si="10"/>
        <v>#VALUE!</v>
      </c>
      <c r="S122" s="56"/>
      <c r="T122" s="57"/>
      <c r="U122" s="6"/>
      <c r="V122" s="45"/>
      <c r="W122" s="46"/>
      <c r="X122" s="47"/>
      <c r="Y122" s="46"/>
      <c r="Z122" s="48"/>
      <c r="AA122" s="49"/>
      <c r="AB122" s="39"/>
      <c r="AC122" s="39"/>
      <c r="AD122" s="39"/>
      <c r="AE122" s="39"/>
      <c r="AF122" s="39"/>
      <c r="AG122" s="39"/>
    </row>
    <row r="123" spans="1:33" s="50" customFormat="1" ht="15" hidden="1" x14ac:dyDescent="0.2">
      <c r="A123" s="51" t="s">
        <v>154</v>
      </c>
      <c r="B123" s="51"/>
      <c r="C123" s="65" t="str">
        <f>IFERROR(INDEX('[1]Balanza Egresos'!A$1:C$65536,MATCH(A123,'[1]Balanza Egresos'!A$1:A$65536,0),2),"SIN CUENTA")</f>
        <v>SIN CUENTA</v>
      </c>
      <c r="D123" s="53" t="e">
        <f>IF($P123="A",SUMIFS(D124:D$181,$A124:$A$181,LEFT($A123,$Q123)&amp;"*",$P124:$P$181,"R"),SUMIFS('[1]Balanza Egresos'!$F$1:$F$65536,'[1]Balanza Egresos'!$A$1:$A$65536,$A123))</f>
        <v>#VALUE!</v>
      </c>
      <c r="E123" s="53" t="e">
        <f>IF($P123="A",SUMIFS(E124:E$181,$A124:$A$181,LEFT($A123,$Q123)&amp;"*",$P124:$P$181,"R"),((H123/[1]Parametros!$E$12)*12)+$I123)</f>
        <v>#VALUE!</v>
      </c>
      <c r="F123" s="37">
        <f>IF($P123="A",SUMIFS(F124:F$181,$A124:$A$181,LEFT($A123,$Q123)&amp;"*",$P124:$P$181,"R"),K123+L123+M123+N123)</f>
        <v>0</v>
      </c>
      <c r="G123" s="58"/>
      <c r="H123" s="59" t="e">
        <f>IF($P123="A",SUMIFS(H124:H$181,$A124:$A$181,LEFT($A123,$Q123)&amp;"*",$P124:$P$181,"R"),SUMIFS('[1]Balanza Egresos'!$V$1:$V$65536,'[1]Balanza Egresos'!$A$1:$A$65536,$A123))</f>
        <v>#VALUE!</v>
      </c>
      <c r="I123" s="66"/>
      <c r="J123" s="39"/>
      <c r="K123" s="61">
        <f>IF($P123="A",SUMIFS(K124:K$181,$A124:$A$181,LEFT($A123,$Q123)&amp;"*",$P124:$P$181,"R"),0)</f>
        <v>0</v>
      </c>
      <c r="L123" s="61">
        <f>IF($P123="A",SUMIFS(L124:L$181,$A124:$A$181,LEFT($A123,$Q123)&amp;"*",$P124:$P$181,"R"),0)</f>
        <v>0</v>
      </c>
      <c r="M123" s="61">
        <f>IF($P123="A",SUMIFS(M124:M$181,$A124:$A$181,LEFT($A123,$Q123)&amp;"*",$P124:$P$181,"R"),0)</f>
        <v>0</v>
      </c>
      <c r="N123" s="61">
        <f>IF($P123="A",SUMIFS(N124:N$181,$A124:$A$181,LEFT($A123,$Q123)&amp;"*",$P124:$P$181,"R"),0)</f>
        <v>0</v>
      </c>
      <c r="O123" s="61">
        <f>IF($P123="A",SUMIFS(O124:O$181,$A124:$A$181,LEFT($A123,$Q123)&amp;"*",$P124:$P$181,"R"),0)</f>
        <v>0</v>
      </c>
      <c r="P123" s="41" t="str">
        <f t="shared" si="17"/>
        <v>A</v>
      </c>
      <c r="Q123" s="41">
        <f t="shared" si="18"/>
        <v>3</v>
      </c>
      <c r="R123" s="55" t="e">
        <f t="shared" si="10"/>
        <v>#VALUE!</v>
      </c>
      <c r="S123" s="56"/>
      <c r="T123" s="57"/>
      <c r="U123" s="6"/>
      <c r="V123" s="45"/>
      <c r="W123" s="46"/>
      <c r="X123" s="47"/>
      <c r="Y123" s="46"/>
      <c r="Z123" s="48"/>
      <c r="AA123" s="49"/>
      <c r="AB123" s="39"/>
      <c r="AC123" s="39"/>
      <c r="AD123" s="39"/>
      <c r="AE123" s="39"/>
      <c r="AF123" s="39"/>
      <c r="AG123" s="39"/>
    </row>
    <row r="124" spans="1:33" s="50" customFormat="1" ht="15" hidden="1" x14ac:dyDescent="0.2">
      <c r="A124" s="51" t="s">
        <v>155</v>
      </c>
      <c r="B124" s="51"/>
      <c r="C124" s="65" t="str">
        <f>IFERROR(INDEX('[1]Balanza Egresos'!A$1:C$65536,MATCH(A124,'[1]Balanza Egresos'!A$1:A$65536,0),2),"SIN CUENTA")</f>
        <v>SIN CUENTA</v>
      </c>
      <c r="D124" s="53" t="e">
        <f>IF($P124="A",SUMIFS(D125:D$181,$A125:$A$181,LEFT($A124,$Q124)&amp;"*",$P125:$P$181,"R"),SUMIFS('[1]Balanza Egresos'!$F$1:$F$65536,'[1]Balanza Egresos'!$A$1:$A$65536,$A124))</f>
        <v>#VALUE!</v>
      </c>
      <c r="E124" s="53" t="e">
        <f>IF($P124="A",SUMIFS(E125:E$181,$A125:$A$181,LEFT($A124,$Q124)&amp;"*",$P125:$P$181,"R"),((H124/[1]Parametros!$E$12)*12)+$I124)</f>
        <v>#VALUE!</v>
      </c>
      <c r="F124" s="37">
        <f>IF($P124="A",SUMIFS(F125:F$181,$A125:$A$181,LEFT($A124,$Q124)&amp;"*",$P125:$P$181,"R"),K124+L124+M124+N124+O124)</f>
        <v>0</v>
      </c>
      <c r="G124" s="58"/>
      <c r="H124" s="59" t="e">
        <f>IF($P124="A",SUMIFS(H125:H$181,$A125:$A$181,LEFT($A124,$Q124)&amp;"*",$P125:$P$181,"R"),SUMIFS('[1]Balanza Egresos'!$V$1:$V$65536,'[1]Balanza Egresos'!$A$1:$A$65536,$A124))</f>
        <v>#VALUE!</v>
      </c>
      <c r="I124" s="66"/>
      <c r="J124" s="39"/>
      <c r="K124" s="61">
        <f>IF($P124="A",SUMIFS(K125:K$181,$A125:$A$181,LEFT($A124,$Q124)&amp;"*",$P125:$P$181,"R"),0)</f>
        <v>0</v>
      </c>
      <c r="L124" s="61">
        <f>IF($P124="A",SUMIFS(L125:L$181,$A125:$A$181,LEFT($A124,$Q124)&amp;"*",$P125:$P$181,"R"),0)</f>
        <v>0</v>
      </c>
      <c r="M124" s="61">
        <f>IF($P124="A",SUMIFS(M125:M$181,$A125:$A$181,LEFT($A124,$Q124)&amp;"*",$P125:$P$181,"R"),0)</f>
        <v>0</v>
      </c>
      <c r="N124" s="61">
        <f>IF($P124="A",SUMIFS(N125:N$181,$A125:$A$181,LEFT($A124,$Q124)&amp;"*",$P125:$P$181,"R"),0)</f>
        <v>0</v>
      </c>
      <c r="O124" s="61">
        <f>IF($P124="A",SUMIFS(O125:O$181,$A125:$A$181,LEFT($A124,$Q124)&amp;"*",$P125:$P$181,"R"),0)</f>
        <v>0</v>
      </c>
      <c r="P124" s="41" t="str">
        <f t="shared" si="17"/>
        <v>R</v>
      </c>
      <c r="Q124" s="41">
        <f t="shared" si="18"/>
        <v>4</v>
      </c>
      <c r="R124" s="55" t="e">
        <f t="shared" si="10"/>
        <v>#VALUE!</v>
      </c>
      <c r="S124" s="56"/>
      <c r="T124" s="57"/>
      <c r="U124" s="6"/>
      <c r="V124" s="45"/>
      <c r="W124" s="46"/>
      <c r="X124" s="47"/>
      <c r="Y124" s="46"/>
      <c r="Z124" s="48"/>
      <c r="AA124" s="49"/>
      <c r="AB124" s="39"/>
      <c r="AC124" s="39"/>
      <c r="AD124" s="39"/>
      <c r="AE124" s="39"/>
      <c r="AF124" s="39"/>
      <c r="AG124" s="39"/>
    </row>
    <row r="125" spans="1:33" s="50" customFormat="1" ht="15" hidden="1" x14ac:dyDescent="0.2">
      <c r="A125" s="51" t="s">
        <v>156</v>
      </c>
      <c r="B125" s="51"/>
      <c r="C125" s="65" t="str">
        <f>IFERROR(INDEX('[1]Balanza Egresos'!A$1:C$65536,MATCH(A125,'[1]Balanza Egresos'!A$1:A$65536,0),2),"SIN CUENTA")</f>
        <v>SIN CUENTA</v>
      </c>
      <c r="D125" s="53" t="e">
        <f>IF($P125="A",SUMIFS(D126:D$181,$A126:$A$181,LEFT($A125,$Q125)&amp;"*",$P126:$P$181,"R"),SUMIFS('[1]Balanza Egresos'!$F$1:$F$65536,'[1]Balanza Egresos'!$A$1:$A$65536,$A125))</f>
        <v>#VALUE!</v>
      </c>
      <c r="E125" s="53" t="e">
        <f>IF($P125="A",SUMIFS(E126:E$181,$A126:$A$181,LEFT($A125,$Q125)&amp;"*",$P126:$P$181,"R"),((H125/[1]Parametros!$E$12)*12)+$I125)</f>
        <v>#VALUE!</v>
      </c>
      <c r="F125" s="37">
        <f>IF($P125="A",SUMIFS(F126:F$181,$A126:$A$181,LEFT($A125,$Q125)&amp;"*",$P126:$P$181,"R"),K125+L125+M125+N125)</f>
        <v>0</v>
      </c>
      <c r="G125" s="58"/>
      <c r="H125" s="59" t="e">
        <f>IF($P125="A",SUMIFS(H126:H$181,$A126:$A$181,LEFT($A125,$Q125)&amp;"*",$P126:$P$181,"R"),SUMIFS('[1]Balanza Egresos'!$V$1:$V$65536,'[1]Balanza Egresos'!$A$1:$A$65536,$A125))</f>
        <v>#VALUE!</v>
      </c>
      <c r="I125" s="66"/>
      <c r="J125" s="39"/>
      <c r="K125" s="61">
        <f>IF($P125="A",SUMIFS(K126:K$181,$A126:$A$181,LEFT($A125,$Q125)&amp;"*",$P126:$P$181,"R"),0)</f>
        <v>0</v>
      </c>
      <c r="L125" s="61">
        <f>IF($P125="A",SUMIFS(L126:L$181,$A126:$A$181,LEFT($A125,$Q125)&amp;"*",$P126:$P$181,"R"),0)</f>
        <v>0</v>
      </c>
      <c r="M125" s="61">
        <f>IF($P125="A",SUMIFS(M126:M$181,$A126:$A$181,LEFT($A125,$Q125)&amp;"*",$P126:$P$181,"R"),0)</f>
        <v>0</v>
      </c>
      <c r="N125" s="61">
        <f>IF($P125="A",SUMIFS(N126:N$181,$A126:$A$181,LEFT($A125,$Q125)&amp;"*",$P126:$P$181,"R"),0)</f>
        <v>0</v>
      </c>
      <c r="O125" s="61">
        <f>IF($P125="A",SUMIFS(O126:O$181,$A126:$A$181,LEFT($A125,$Q125)&amp;"*",$P126:$P$181,"R"),0)</f>
        <v>0</v>
      </c>
      <c r="P125" s="41" t="str">
        <f t="shared" si="17"/>
        <v>A</v>
      </c>
      <c r="Q125" s="41">
        <f t="shared" si="18"/>
        <v>3</v>
      </c>
      <c r="R125" s="55" t="e">
        <f t="shared" si="10"/>
        <v>#VALUE!</v>
      </c>
      <c r="S125" s="56"/>
      <c r="T125" s="57"/>
      <c r="U125" s="6"/>
      <c r="V125" s="45"/>
      <c r="W125" s="46"/>
      <c r="X125" s="47"/>
      <c r="Y125" s="46"/>
      <c r="Z125" s="48"/>
      <c r="AA125" s="49"/>
      <c r="AB125" s="39"/>
      <c r="AC125" s="39"/>
      <c r="AD125" s="39"/>
      <c r="AE125" s="39"/>
      <c r="AF125" s="39"/>
      <c r="AG125" s="39"/>
    </row>
    <row r="126" spans="1:33" s="50" customFormat="1" ht="15" hidden="1" x14ac:dyDescent="0.2">
      <c r="A126" s="51" t="s">
        <v>157</v>
      </c>
      <c r="B126" s="51"/>
      <c r="C126" s="65" t="str">
        <f>IFERROR(INDEX('[1]Balanza Egresos'!A$1:C$65536,MATCH(A126,'[1]Balanza Egresos'!A$1:A$65536,0),2),"SIN CUENTA")</f>
        <v>SIN CUENTA</v>
      </c>
      <c r="D126" s="53" t="e">
        <f>IF($P126="A",SUMIFS(D127:D$181,$A127:$A$181,LEFT($A126,$Q126)&amp;"*",$P127:$P$181,"R"),SUMIFS('[1]Balanza Egresos'!$F$1:$F$65536,'[1]Balanza Egresos'!$A$1:$A$65536,$A126))</f>
        <v>#VALUE!</v>
      </c>
      <c r="E126" s="53" t="e">
        <f>IF($P126="A",SUMIFS(E127:E$181,$A127:$A$181,LEFT($A126,$Q126)&amp;"*",$P127:$P$181,"R"),((H126/[1]Parametros!$E$12)*12)+$I126)</f>
        <v>#VALUE!</v>
      </c>
      <c r="F126" s="37">
        <f>IF($P126="A",SUMIFS(F127:F$181,$A127:$A$181,LEFT($A126,$Q126)&amp;"*",$P127:$P$181,"R"),K126+L126+M126+N126+O126)</f>
        <v>0</v>
      </c>
      <c r="G126" s="58"/>
      <c r="H126" s="59" t="e">
        <f>IF($P126="A",SUMIFS(H127:H$181,$A127:$A$181,LEFT($A126,$Q126)&amp;"*",$P127:$P$181,"R"),SUMIFS('[1]Balanza Egresos'!$V$1:$V$65536,'[1]Balanza Egresos'!$A$1:$A$65536,$A126))</f>
        <v>#VALUE!</v>
      </c>
      <c r="I126" s="66"/>
      <c r="J126" s="39"/>
      <c r="K126" s="61">
        <f>IF($P126="A",SUMIFS(K127:K$181,$A127:$A$181,LEFT($A126,$Q126)&amp;"*",$P127:$P$181,"R"),0)</f>
        <v>0</v>
      </c>
      <c r="L126" s="61">
        <f>IF($P126="A",SUMIFS(L127:L$181,$A127:$A$181,LEFT($A126,$Q126)&amp;"*",$P127:$P$181,"R"),0)</f>
        <v>0</v>
      </c>
      <c r="M126" s="61">
        <f>IF($P126="A",SUMIFS(M127:M$181,$A127:$A$181,LEFT($A126,$Q126)&amp;"*",$P127:$P$181,"R"),0)</f>
        <v>0</v>
      </c>
      <c r="N126" s="61">
        <f>IF($P126="A",SUMIFS(N127:N$181,$A127:$A$181,LEFT($A126,$Q126)&amp;"*",$P127:$P$181,"R"),0)</f>
        <v>0</v>
      </c>
      <c r="O126" s="61">
        <f>IF($P126="A",SUMIFS(O127:O$181,$A127:$A$181,LEFT($A126,$Q126)&amp;"*",$P127:$P$181,"R"),0)</f>
        <v>0</v>
      </c>
      <c r="P126" s="41" t="str">
        <f t="shared" si="17"/>
        <v>R</v>
      </c>
      <c r="Q126" s="41">
        <f t="shared" si="18"/>
        <v>4</v>
      </c>
      <c r="R126" s="55" t="e">
        <f t="shared" si="10"/>
        <v>#VALUE!</v>
      </c>
      <c r="S126" s="56"/>
      <c r="T126" s="57"/>
      <c r="U126" s="6"/>
      <c r="V126" s="45"/>
      <c r="W126" s="46"/>
      <c r="X126" s="47"/>
      <c r="Y126" s="46"/>
      <c r="Z126" s="48"/>
      <c r="AA126" s="49"/>
      <c r="AB126" s="39"/>
      <c r="AC126" s="39"/>
      <c r="AD126" s="39"/>
      <c r="AE126" s="39"/>
      <c r="AF126" s="39"/>
      <c r="AG126" s="39"/>
    </row>
    <row r="127" spans="1:33" s="50" customFormat="1" ht="15" hidden="1" x14ac:dyDescent="0.2">
      <c r="A127" s="51" t="s">
        <v>158</v>
      </c>
      <c r="B127" s="51"/>
      <c r="C127" s="65" t="str">
        <f>IFERROR(INDEX('[1]Balanza Egresos'!A$1:C$65536,MATCH(A127,'[1]Balanza Egresos'!A$1:A$65536,0),2),"SIN CUENTA")</f>
        <v>SIN CUENTA</v>
      </c>
      <c r="D127" s="53" t="e">
        <f>IF($P127="A",SUMIFS(D128:D$181,$A128:$A$181,LEFT($A127,$Q127)&amp;"*",$P128:$P$181,"R"),SUMIFS('[1]Balanza Egresos'!$F$1:$F$65536,'[1]Balanza Egresos'!$A$1:$A$65536,$A127))</f>
        <v>#VALUE!</v>
      </c>
      <c r="E127" s="53" t="e">
        <f>IF($P127="A",SUMIFS(E128:E$181,$A128:$A$181,LEFT($A127,$Q127)&amp;"*",$P128:$P$181,"R"),((H127/[1]Parametros!$E$12)*12)+$I127)</f>
        <v>#VALUE!</v>
      </c>
      <c r="F127" s="37">
        <f>IF($P127="A",SUMIFS(F128:F$181,$A128:$A$181,LEFT($A127,$Q127)&amp;"*",$P128:$P$181,"R"),K127+L127+M127+N127)</f>
        <v>0</v>
      </c>
      <c r="G127" s="58"/>
      <c r="H127" s="59" t="e">
        <f>IF($P127="A",SUMIFS(H128:H$181,$A128:$A$181,LEFT($A127,$Q127)&amp;"*",$P128:$P$181,"R"),SUMIFS('[1]Balanza Egresos'!$V$1:$V$65536,'[1]Balanza Egresos'!$A$1:$A$65536,$A127))</f>
        <v>#VALUE!</v>
      </c>
      <c r="I127" s="66"/>
      <c r="J127" s="39"/>
      <c r="K127" s="61">
        <f>IF($P127="A",SUMIFS(K128:K$181,$A128:$A$181,LEFT($A127,$Q127)&amp;"*",$P128:$P$181,"R"),0)</f>
        <v>0</v>
      </c>
      <c r="L127" s="61">
        <f>IF($P127="A",SUMIFS(L128:L$181,$A128:$A$181,LEFT($A127,$Q127)&amp;"*",$P128:$P$181,"R"),0)</f>
        <v>0</v>
      </c>
      <c r="M127" s="61">
        <f>IF($P127="A",SUMIFS(M128:M$181,$A128:$A$181,LEFT($A127,$Q127)&amp;"*",$P128:$P$181,"R"),0)</f>
        <v>0</v>
      </c>
      <c r="N127" s="61">
        <f>IF($P127="A",SUMIFS(N128:N$181,$A128:$A$181,LEFT($A127,$Q127)&amp;"*",$P128:$P$181,"R"),0)</f>
        <v>0</v>
      </c>
      <c r="O127" s="61">
        <f>IF($P127="A",SUMIFS(O128:O$181,$A128:$A$181,LEFT($A127,$Q127)&amp;"*",$P128:$P$181,"R"),0)</f>
        <v>0</v>
      </c>
      <c r="P127" s="41" t="str">
        <f t="shared" si="17"/>
        <v>A</v>
      </c>
      <c r="Q127" s="41">
        <f t="shared" si="18"/>
        <v>3</v>
      </c>
      <c r="R127" s="55" t="e">
        <f t="shared" si="10"/>
        <v>#VALUE!</v>
      </c>
      <c r="S127" s="56"/>
      <c r="T127" s="57"/>
      <c r="U127" s="6"/>
      <c r="V127" s="45"/>
      <c r="W127" s="46"/>
      <c r="X127" s="47"/>
      <c r="Y127" s="46"/>
      <c r="Z127" s="48"/>
      <c r="AA127" s="49"/>
      <c r="AB127" s="39"/>
      <c r="AC127" s="39"/>
      <c r="AD127" s="39"/>
      <c r="AE127" s="39"/>
      <c r="AF127" s="39"/>
      <c r="AG127" s="39"/>
    </row>
    <row r="128" spans="1:33" s="50" customFormat="1" ht="15" hidden="1" x14ac:dyDescent="0.2">
      <c r="A128" s="51" t="s">
        <v>159</v>
      </c>
      <c r="B128" s="51"/>
      <c r="C128" s="65" t="str">
        <f>IFERROR(INDEX('[1]Balanza Egresos'!A$1:C$65536,MATCH(A128,'[1]Balanza Egresos'!A$1:A$65536,0),2),"SIN CUENTA")</f>
        <v>SIN CUENTA</v>
      </c>
      <c r="D128" s="53" t="e">
        <f>IF($P128="A",SUMIFS(D129:D$181,$A129:$A$181,LEFT($A128,$Q128)&amp;"*",$P129:$P$181,"R"),SUMIFS('[1]Balanza Egresos'!$F$1:$F$65536,'[1]Balanza Egresos'!$A$1:$A$65536,$A128))</f>
        <v>#VALUE!</v>
      </c>
      <c r="E128" s="53" t="e">
        <f>IF($P128="A",SUMIFS(E129:E$181,$A129:$A$181,LEFT($A128,$Q128)&amp;"*",$P129:$P$181,"R"),((H128/[1]Parametros!$E$12)*12)+$I128)</f>
        <v>#VALUE!</v>
      </c>
      <c r="F128" s="37">
        <f>IF($P128="A",SUMIFS(F129:F$181,$A129:$A$181,LEFT($A128,$Q128)&amp;"*",$P129:$P$181,"R"),K128+L128+M128+N128+O128)</f>
        <v>0</v>
      </c>
      <c r="G128" s="58"/>
      <c r="H128" s="59" t="e">
        <f>IF($P128="A",SUMIFS(H129:H$181,$A129:$A$181,LEFT($A128,$Q128)&amp;"*",$P129:$P$181,"R"),SUMIFS('[1]Balanza Egresos'!$V$1:$V$65536,'[1]Balanza Egresos'!$A$1:$A$65536,$A128))</f>
        <v>#VALUE!</v>
      </c>
      <c r="I128" s="66"/>
      <c r="J128" s="39"/>
      <c r="K128" s="61">
        <f>IF($P128="A",SUMIFS(K129:K$181,$A129:$A$181,LEFT($A128,$Q128)&amp;"*",$P129:$P$181,"R"),0)</f>
        <v>0</v>
      </c>
      <c r="L128" s="61">
        <f>IF($P128="A",SUMIFS(L129:L$181,$A129:$A$181,LEFT($A128,$Q128)&amp;"*",$P129:$P$181,"R"),0)</f>
        <v>0</v>
      </c>
      <c r="M128" s="61">
        <f>IF($P128="A",SUMIFS(M129:M$181,$A129:$A$181,LEFT($A128,$Q128)&amp;"*",$P129:$P$181,"R"),0)</f>
        <v>0</v>
      </c>
      <c r="N128" s="61">
        <f>IF($P128="A",SUMIFS(N129:N$181,$A129:$A$181,LEFT($A128,$Q128)&amp;"*",$P129:$P$181,"R"),0)</f>
        <v>0</v>
      </c>
      <c r="O128" s="61">
        <f>IF($P128="A",SUMIFS(O129:O$181,$A129:$A$181,LEFT($A128,$Q128)&amp;"*",$P129:$P$181,"R"),0)</f>
        <v>0</v>
      </c>
      <c r="P128" s="41" t="str">
        <f t="shared" si="17"/>
        <v>R</v>
      </c>
      <c r="Q128" s="41">
        <f t="shared" si="18"/>
        <v>4</v>
      </c>
      <c r="R128" s="55" t="e">
        <f t="shared" si="10"/>
        <v>#VALUE!</v>
      </c>
      <c r="S128" s="56"/>
      <c r="T128" s="57"/>
      <c r="U128" s="6"/>
      <c r="V128" s="45"/>
      <c r="W128" s="46"/>
      <c r="X128" s="47"/>
      <c r="Y128" s="46"/>
      <c r="Z128" s="48"/>
      <c r="AA128" s="49"/>
      <c r="AB128" s="39"/>
      <c r="AC128" s="39"/>
      <c r="AD128" s="39"/>
      <c r="AE128" s="39"/>
      <c r="AF128" s="39"/>
      <c r="AG128" s="39"/>
    </row>
    <row r="129" spans="1:33" s="50" customFormat="1" ht="15" hidden="1" x14ac:dyDescent="0.2">
      <c r="A129" s="51" t="s">
        <v>160</v>
      </c>
      <c r="B129" s="51"/>
      <c r="C129" s="65" t="str">
        <f>IFERROR(INDEX('[1]Balanza Egresos'!A$1:C$65536,MATCH(A129,'[1]Balanza Egresos'!A$1:A$65536,0),2),"SIN CUENTA")</f>
        <v>SIN CUENTA</v>
      </c>
      <c r="D129" s="53" t="e">
        <f>IF($P129="A",SUMIFS(D130:D$181,$A130:$A$181,LEFT($A129,$Q129)&amp;"*",$P130:$P$181,"R"),SUMIFS('[1]Balanza Egresos'!$F$1:$F$65536,'[1]Balanza Egresos'!$A$1:$A$65536,$A129))</f>
        <v>#VALUE!</v>
      </c>
      <c r="E129" s="53" t="e">
        <f>IF($P129="A",SUMIFS(E130:E$181,$A130:$A$181,LEFT($A129,$Q129)&amp;"*",$P130:$P$181,"R"),((H129/[1]Parametros!$E$12)*12)+$I129)</f>
        <v>#VALUE!</v>
      </c>
      <c r="F129" s="37">
        <f>IF($P129="A",SUMIFS(F130:F$181,$A130:$A$181,LEFT($A129,$Q129)&amp;"*",$P130:$P$181,"R"),K129+L129+M129+N129)</f>
        <v>0</v>
      </c>
      <c r="G129" s="58"/>
      <c r="H129" s="59" t="e">
        <f>IF($P129="A",SUMIFS(H130:H$181,$A130:$A$181,LEFT($A129,$Q129)&amp;"*",$P130:$P$181,"R"),SUMIFS('[1]Balanza Egresos'!$V$1:$V$65536,'[1]Balanza Egresos'!$A$1:$A$65536,$A129))</f>
        <v>#VALUE!</v>
      </c>
      <c r="I129" s="66"/>
      <c r="J129" s="39"/>
      <c r="K129" s="61">
        <f>IF($P129="A",SUMIFS(K130:K$181,$A130:$A$181,LEFT($A129,$Q129)&amp;"*",$P130:$P$181,"R"),0)</f>
        <v>0</v>
      </c>
      <c r="L129" s="61">
        <f>IF($P129="A",SUMIFS(L130:L$181,$A130:$A$181,LEFT($A129,$Q129)&amp;"*",$P130:$P$181,"R"),0)</f>
        <v>0</v>
      </c>
      <c r="M129" s="61">
        <f>IF($P129="A",SUMIFS(M130:M$181,$A130:$A$181,LEFT($A129,$Q129)&amp;"*",$P130:$P$181,"R"),0)</f>
        <v>0</v>
      </c>
      <c r="N129" s="61">
        <f>IF($P129="A",SUMIFS(N130:N$181,$A130:$A$181,LEFT($A129,$Q129)&amp;"*",$P130:$P$181,"R"),0)</f>
        <v>0</v>
      </c>
      <c r="O129" s="61">
        <f>IF($P129="A",SUMIFS(O130:O$181,$A130:$A$181,LEFT($A129,$Q129)&amp;"*",$P130:$P$181,"R"),0)</f>
        <v>0</v>
      </c>
      <c r="P129" s="41" t="str">
        <f t="shared" si="17"/>
        <v>A</v>
      </c>
      <c r="Q129" s="41">
        <f t="shared" si="18"/>
        <v>3</v>
      </c>
      <c r="R129" s="55" t="e">
        <f t="shared" si="10"/>
        <v>#VALUE!</v>
      </c>
      <c r="S129" s="56"/>
      <c r="T129" s="57"/>
      <c r="U129" s="6"/>
      <c r="V129" s="45"/>
      <c r="W129" s="46"/>
      <c r="X129" s="47"/>
      <c r="Y129" s="46"/>
      <c r="Z129" s="48"/>
      <c r="AA129" s="49"/>
      <c r="AB129" s="39"/>
      <c r="AC129" s="39"/>
      <c r="AD129" s="39"/>
      <c r="AE129" s="39"/>
      <c r="AF129" s="39"/>
      <c r="AG129" s="39"/>
    </row>
    <row r="130" spans="1:33" s="50" customFormat="1" ht="15" hidden="1" x14ac:dyDescent="0.2">
      <c r="A130" s="51" t="s">
        <v>161</v>
      </c>
      <c r="B130" s="51"/>
      <c r="C130" s="65" t="str">
        <f>IFERROR(INDEX('[1]Balanza Egresos'!A$1:C$65536,MATCH(A130,'[1]Balanza Egresos'!A$1:A$65536,0),2),"SIN CUENTA")</f>
        <v>SIN CUENTA</v>
      </c>
      <c r="D130" s="53" t="e">
        <f>IF($P130="A",SUMIFS(D131:D$181,$A131:$A$181,LEFT($A130,$Q130)&amp;"*",$P131:$P$181,"R"),SUMIFS('[1]Balanza Egresos'!$F$1:$F$65536,'[1]Balanza Egresos'!$A$1:$A$65536,$A130))</f>
        <v>#VALUE!</v>
      </c>
      <c r="E130" s="53" t="e">
        <f>IF($P130="A",SUMIFS(E131:E$181,$A131:$A$181,LEFT($A130,$Q130)&amp;"*",$P131:$P$181,"R"),((H130/[1]Parametros!$E$12)*12)+$I130)</f>
        <v>#VALUE!</v>
      </c>
      <c r="F130" s="37">
        <f>IF($P130="A",SUMIFS(F131:F$181,$A131:$A$181,LEFT($A130,$Q130)&amp;"*",$P131:$P$181,"R"),K130+L130+M130+N130+O130)</f>
        <v>0</v>
      </c>
      <c r="G130" s="58"/>
      <c r="H130" s="59" t="e">
        <f>IF($P130="A",SUMIFS(H131:H$181,$A131:$A$181,LEFT($A130,$Q130)&amp;"*",$P131:$P$181,"R"),SUMIFS('[1]Balanza Egresos'!$V$1:$V$65536,'[1]Balanza Egresos'!$A$1:$A$65536,$A130))</f>
        <v>#VALUE!</v>
      </c>
      <c r="I130" s="66"/>
      <c r="J130" s="39"/>
      <c r="K130" s="61">
        <f>IF($P130="A",SUMIFS(K131:K$181,$A131:$A$181,LEFT($A130,$Q130)&amp;"*",$P131:$P$181,"R"),0)</f>
        <v>0</v>
      </c>
      <c r="L130" s="61">
        <f>IF($P130="A",SUMIFS(L131:L$181,$A131:$A$181,LEFT($A130,$Q130)&amp;"*",$P131:$P$181,"R"),0)</f>
        <v>0</v>
      </c>
      <c r="M130" s="61">
        <f>IF($P130="A",SUMIFS(M131:M$181,$A131:$A$181,LEFT($A130,$Q130)&amp;"*",$P131:$P$181,"R"),0)</f>
        <v>0</v>
      </c>
      <c r="N130" s="61">
        <f>IF($P130="A",SUMIFS(N131:N$181,$A131:$A$181,LEFT($A130,$Q130)&amp;"*",$P131:$P$181,"R"),0)</f>
        <v>0</v>
      </c>
      <c r="O130" s="61">
        <f>IF($P130="A",SUMIFS(O131:O$181,$A131:$A$181,LEFT($A130,$Q130)&amp;"*",$P131:$P$181,"R"),0)</f>
        <v>0</v>
      </c>
      <c r="P130" s="41" t="str">
        <f t="shared" si="17"/>
        <v>R</v>
      </c>
      <c r="Q130" s="41">
        <f t="shared" si="18"/>
        <v>4</v>
      </c>
      <c r="R130" s="55" t="e">
        <f t="shared" si="10"/>
        <v>#VALUE!</v>
      </c>
      <c r="S130" s="56"/>
      <c r="T130" s="57"/>
      <c r="U130" s="6"/>
      <c r="V130" s="45"/>
      <c r="W130" s="46"/>
      <c r="X130" s="47"/>
      <c r="Y130" s="46"/>
      <c r="Z130" s="48"/>
      <c r="AA130" s="49"/>
      <c r="AB130" s="39"/>
      <c r="AC130" s="39"/>
      <c r="AD130" s="39"/>
      <c r="AE130" s="39"/>
      <c r="AF130" s="39"/>
      <c r="AG130" s="39"/>
    </row>
    <row r="131" spans="1:33" s="50" customFormat="1" ht="15" x14ac:dyDescent="0.2">
      <c r="A131" s="51" t="s">
        <v>162</v>
      </c>
      <c r="B131" s="51"/>
      <c r="C131" s="65" t="str">
        <f>IFERROR(INDEX('[1]Balanza Egresos'!A$1:C$65536,MATCH(A131,'[1]Balanza Egresos'!A$1:A$65536,0),2),"SIN CUENTA")</f>
        <v>INVERSIÓN PÚBLICA</v>
      </c>
      <c r="D131" s="53" t="e">
        <f>IF($P131="A",SUMIFS(D132:D$181,$A132:$A$181,LEFT($A131,$Q131)&amp;"*",$P132:$P$181,"R"),SUMIFS('[1]Balanza Egresos'!$F$1:$F$65536,'[1]Balanza Egresos'!$A$1:$A$65536,$A131))</f>
        <v>#VALUE!</v>
      </c>
      <c r="E131" s="53" t="e">
        <f>IF($P131="A",SUMIFS(E132:E$181,$A132:$A$181,LEFT($A131,$Q131)&amp;"*",$P132:$P$181,"R"),((H131/[1]Parametros!$E$12)*12)+$I131)</f>
        <v>#VALUE!</v>
      </c>
      <c r="F131" s="37">
        <f>IF($P131="A",SUMIFS(F$181:F183,$A$181:$A183,LEFT($A131,$Q131)&amp;"*",$P$181:$P183,"R"),K131+L131+M131+N131)+F160+F168</f>
        <v>11456876.59</v>
      </c>
      <c r="G131" s="62"/>
      <c r="H131" s="59" t="e">
        <f>IF($P131="A",SUMIFS(H132:H$181,$A132:$A$181,LEFT($A131,$Q131)&amp;"*",$P132:$P$181,"R"),SUMIFS('[1]Balanza Egresos'!$V$1:$V$65536,'[1]Balanza Egresos'!$A$1:$A$65536,$A131))</f>
        <v>#VALUE!</v>
      </c>
      <c r="I131" s="66"/>
      <c r="J131" s="39"/>
      <c r="K131" s="61">
        <f>IF($P131="A",SUMIFS(K132:K$181,$A132:$A$181,LEFT($A131,$Q131)&amp;"*",$P132:$P$181,"R"),0)</f>
        <v>0</v>
      </c>
      <c r="L131" s="61">
        <f>IF($P131="A",SUMIFS(L132:L$181,$A132:$A$181,LEFT($A131,$Q131)&amp;"*",$P132:$P$181,"R"),0)</f>
        <v>0</v>
      </c>
      <c r="M131" s="61">
        <f>IF($P131="A",SUMIFS(M132:M$181,$A132:$A$181,LEFT($A131,$Q131)&amp;"*",$P132:$P$181,"R"),0)</f>
        <v>7956876.5899999999</v>
      </c>
      <c r="N131" s="61">
        <f>IF($P131="A",SUMIFS(N132:N$181,$A132:$A$181,LEFT($A131,$Q131)&amp;"*",$P132:$P$181,"R"),0)</f>
        <v>3500000</v>
      </c>
      <c r="O131" s="61">
        <f>IF($P131="A",SUMIFS(O132:O$181,$A132:$A$181,LEFT($A131,$Q131)&amp;"*",$P132:$P$181,"R"),0)</f>
        <v>0</v>
      </c>
      <c r="P131" s="41" t="str">
        <f t="shared" si="17"/>
        <v>A</v>
      </c>
      <c r="Q131" s="41">
        <f t="shared" si="18"/>
        <v>1</v>
      </c>
      <c r="R131" s="55" t="e">
        <f t="shared" si="10"/>
        <v>#VALUE!</v>
      </c>
      <c r="S131" s="56"/>
      <c r="T131" s="57"/>
      <c r="U131" s="6"/>
      <c r="V131" s="45"/>
      <c r="W131" s="46"/>
      <c r="X131" s="47"/>
      <c r="Y131" s="46"/>
      <c r="Z131" s="48"/>
      <c r="AA131" s="49"/>
      <c r="AB131" s="39"/>
      <c r="AC131" s="39"/>
      <c r="AD131" s="39"/>
      <c r="AE131" s="39"/>
      <c r="AF131" s="39"/>
      <c r="AG131" s="39"/>
    </row>
    <row r="132" spans="1:33" s="50" customFormat="1" ht="15" hidden="1" x14ac:dyDescent="0.2">
      <c r="A132" s="51" t="s">
        <v>163</v>
      </c>
      <c r="B132" s="51"/>
      <c r="C132" s="65" t="str">
        <f>IFERROR(INDEX('[1]Balanza Egresos'!A$1:C$65536,MATCH(A132,'[1]Balanza Egresos'!A$1:A$65536,0),2),"SIN CUENTA")</f>
        <v>SIN CUENTA</v>
      </c>
      <c r="D132" s="53" t="e">
        <f>IF($P132="A",SUMIFS(D133:D$181,$A133:$A$181,LEFT($A132,$Q132)&amp;"*",$P133:$P$181,"R"),SUMIFS('[1]Balanza Egresos'!$F$1:$F$65536,'[1]Balanza Egresos'!$A$1:$A$65536,$A132))</f>
        <v>#VALUE!</v>
      </c>
      <c r="E132" s="53" t="e">
        <f>IF($P132="A",SUMIFS(E133:E$181,$A133:$A$181,LEFT($A132,$Q132)&amp;"*",$P133:$P$181,"R"),((H132/[1]Parametros!$E$12)*12)+$I132)</f>
        <v>#VALUE!</v>
      </c>
      <c r="F132" s="37">
        <f>IF($P132="A",SUMIFS(F$181:F184,$A$181:$A184,LEFT($A132,$Q132)&amp;"*",$P$181:$P184,"R"),K132+L132+M132+N132)</f>
        <v>0</v>
      </c>
      <c r="G132" s="58"/>
      <c r="H132" s="59" t="e">
        <f>IF($P132="A",SUMIFS(H133:H$181,$A133:$A$181,LEFT($A132,$Q132)&amp;"*",$P133:$P$181,"R"),SUMIFS('[1]Balanza Egresos'!$V$1:$V$65536,'[1]Balanza Egresos'!$A$1:$A$65536,$A132))</f>
        <v>#VALUE!</v>
      </c>
      <c r="I132" s="66"/>
      <c r="J132" s="39"/>
      <c r="K132" s="61">
        <f>IF($P132="A",SUMIFS(K133:K$181,$A133:$A$181,LEFT($A132,$Q132)&amp;"*",$P133:$P$181,"R"),0)</f>
        <v>0</v>
      </c>
      <c r="L132" s="61">
        <f>IF($P132="A",SUMIFS(L133:L$181,$A133:$A$181,LEFT($A132,$Q132)&amp;"*",$P133:$P$181,"R"),0)</f>
        <v>0</v>
      </c>
      <c r="M132" s="61">
        <f>IF($P132="A",SUMIFS(M133:M$181,$A133:$A$181,LEFT($A132,$Q132)&amp;"*",$P133:$P$181,"R"),0)</f>
        <v>0</v>
      </c>
      <c r="N132" s="61">
        <f>IF($P132="A",SUMIFS(N133:N$181,$A133:$A$181,LEFT($A132,$Q132)&amp;"*",$P133:$P$181,"R"),0)</f>
        <v>0</v>
      </c>
      <c r="O132" s="61">
        <f>IF($P132="A",SUMIFS(O133:O$181,$A133:$A$181,LEFT($A132,$Q132)&amp;"*",$P133:$P$181,"R"),0)</f>
        <v>0</v>
      </c>
      <c r="P132" s="41" t="str">
        <f t="shared" si="17"/>
        <v>A</v>
      </c>
      <c r="Q132" s="41">
        <f t="shared" si="18"/>
        <v>2</v>
      </c>
      <c r="R132" s="55" t="e">
        <f t="shared" si="10"/>
        <v>#VALUE!</v>
      </c>
      <c r="S132" s="56"/>
      <c r="T132" s="57"/>
      <c r="U132" s="6"/>
      <c r="V132" s="45"/>
      <c r="W132" s="46"/>
      <c r="X132" s="47"/>
      <c r="Y132" s="46"/>
      <c r="Z132" s="48"/>
      <c r="AA132" s="49"/>
      <c r="AB132" s="39"/>
      <c r="AC132" s="39"/>
      <c r="AD132" s="39"/>
      <c r="AE132" s="39"/>
      <c r="AF132" s="39"/>
      <c r="AG132" s="39"/>
    </row>
    <row r="133" spans="1:33" s="50" customFormat="1" ht="15" hidden="1" x14ac:dyDescent="0.2">
      <c r="A133" s="51" t="s">
        <v>164</v>
      </c>
      <c r="B133" s="51"/>
      <c r="C133" s="65" t="str">
        <f>IFERROR(INDEX('[1]Balanza Egresos'!A$1:C$65536,MATCH(A133,'[1]Balanza Egresos'!A$1:A$65536,0),2),"SIN CUENTA")</f>
        <v>SIN CUENTA</v>
      </c>
      <c r="D133" s="53" t="e">
        <f>IF($P133="A",SUMIFS(D134:D$181,$A134:$A$181,LEFT($A133,$Q133)&amp;"*",$P134:$P$181,"R"),SUMIFS('[1]Balanza Egresos'!$F$1:$F$65536,'[1]Balanza Egresos'!$A$1:$A$65536,$A133))</f>
        <v>#VALUE!</v>
      </c>
      <c r="E133" s="53" t="e">
        <f>IF($P133="A",SUMIFS(E134:E$181,$A134:$A$181,LEFT($A133,$Q133)&amp;"*",$P134:$P$181,"R"),((H133/[1]Parametros!$E$12)*12)+$I133)</f>
        <v>#VALUE!</v>
      </c>
      <c r="F133" s="37">
        <f>IF($P133="A",SUMIFS(F$181:F185,$A$181:$A185,LEFT($A133,$Q133)&amp;"*",$P$181:$P185,"R"),K133+L133+M133+N133)</f>
        <v>0</v>
      </c>
      <c r="G133" s="58"/>
      <c r="H133" s="59" t="e">
        <f>IF($P133="A",SUMIFS(H134:H$181,$A134:$A$181,LEFT($A133,$Q133)&amp;"*",$P134:$P$181,"R"),SUMIFS('[1]Balanza Egresos'!$V$1:$V$65536,'[1]Balanza Egresos'!$A$1:$A$65536,$A133))</f>
        <v>#VALUE!</v>
      </c>
      <c r="I133" s="66"/>
      <c r="J133" s="39"/>
      <c r="K133" s="61">
        <f>IF($P133="A",SUMIFS(K134:K$181,$A134:$A$181,LEFT($A133,$Q133)&amp;"*",$P134:$P$181,"R"),0)</f>
        <v>0</v>
      </c>
      <c r="L133" s="61">
        <f>IF($P133="A",SUMIFS(L134:L$181,$A134:$A$181,LEFT($A133,$Q133)&amp;"*",$P134:$P$181,"R"),0)</f>
        <v>0</v>
      </c>
      <c r="M133" s="61">
        <f>IF($P133="A",SUMIFS(M134:M$181,$A134:$A$181,LEFT($A133,$Q133)&amp;"*",$P134:$P$181,"R"),0)</f>
        <v>0</v>
      </c>
      <c r="N133" s="61">
        <f>IF($P133="A",SUMIFS(N134:N$181,$A134:$A$181,LEFT($A133,$Q133)&amp;"*",$P134:$P$181,"R"),0)</f>
        <v>0</v>
      </c>
      <c r="O133" s="61">
        <f>IF($P133="A",SUMIFS(O134:O$181,$A134:$A$181,LEFT($A133,$Q133)&amp;"*",$P134:$P$181,"R"),0)</f>
        <v>0</v>
      </c>
      <c r="P133" s="41" t="str">
        <f t="shared" si="17"/>
        <v>A</v>
      </c>
      <c r="Q133" s="41">
        <f t="shared" si="18"/>
        <v>3</v>
      </c>
      <c r="R133" s="55" t="e">
        <f t="shared" si="10"/>
        <v>#VALUE!</v>
      </c>
      <c r="S133" s="56"/>
      <c r="T133" s="57"/>
      <c r="U133" s="6"/>
      <c r="V133" s="45"/>
      <c r="W133" s="46"/>
      <c r="X133" s="47"/>
      <c r="Y133" s="46"/>
      <c r="Z133" s="48"/>
      <c r="AA133" s="49"/>
      <c r="AB133" s="39"/>
      <c r="AC133" s="39"/>
      <c r="AD133" s="39"/>
      <c r="AE133" s="39"/>
      <c r="AF133" s="39"/>
      <c r="AG133" s="39"/>
    </row>
    <row r="134" spans="1:33" s="50" customFormat="1" ht="15" hidden="1" x14ac:dyDescent="0.2">
      <c r="A134" s="51" t="s">
        <v>165</v>
      </c>
      <c r="B134" s="51"/>
      <c r="C134" s="65" t="str">
        <f>IFERROR(INDEX('[1]Balanza Egresos'!A$1:C$65536,MATCH(A134,'[1]Balanza Egresos'!A$1:A$65536,0),2),"SIN CUENTA")</f>
        <v>SIN CUENTA</v>
      </c>
      <c r="D134" s="53" t="e">
        <f>IF($P134="A",SUMIFS(D135:D$181,$A135:$A$181,LEFT($A134,$Q134)&amp;"*",$P135:$P$181,"R"),SUMIFS('[1]Balanza Egresos'!$F$1:$F$65536,'[1]Balanza Egresos'!$A$1:$A$65536,$A134))</f>
        <v>#VALUE!</v>
      </c>
      <c r="E134" s="53" t="e">
        <f>IF($P134="A",SUMIFS(E135:E$181,$A135:$A$181,LEFT($A134,$Q134)&amp;"*",$P135:$P$181,"R"),((H134/[1]Parametros!$E$12)*12)+$I134)</f>
        <v>#VALUE!</v>
      </c>
      <c r="F134" s="37">
        <f>IF($P134="A",SUMIFS(F135:F$181,$A135:$A$181,LEFT($A134,$Q134)&amp;"*",$P135:$P$181,"R"),K134+L134+M134+N134+O134)</f>
        <v>0</v>
      </c>
      <c r="G134" s="58"/>
      <c r="H134" s="59" t="e">
        <f>IF($P134="A",SUMIFS(H135:H$181,$A135:$A$181,LEFT($A134,$Q134)&amp;"*",$P135:$P$181,"R"),SUMIFS('[1]Balanza Egresos'!$V$1:$V$65536,'[1]Balanza Egresos'!$A$1:$A$65536,$A134))</f>
        <v>#VALUE!</v>
      </c>
      <c r="I134" s="66"/>
      <c r="J134" s="39"/>
      <c r="K134" s="61">
        <f>IF($P134="A",SUMIFS(K135:K$181,$A135:$A$181,LEFT($A134,$Q134)&amp;"*",$P135:$P$181,"R"),0)</f>
        <v>0</v>
      </c>
      <c r="L134" s="61">
        <f>IF($P134="A",SUMIFS(L135:L$181,$A135:$A$181,LEFT($A134,$Q134)&amp;"*",$P135:$P$181,"R"),0)</f>
        <v>0</v>
      </c>
      <c r="M134" s="61">
        <f>IF($P134="A",SUMIFS(M135:M$181,$A135:$A$181,LEFT($A134,$Q134)&amp;"*",$P135:$P$181,"R"),0)</f>
        <v>0</v>
      </c>
      <c r="N134" s="61">
        <f>IF($P134="A",SUMIFS(N135:N$181,$A135:$A$181,LEFT($A134,$Q134)&amp;"*",$P135:$P$181,"R"),0)</f>
        <v>0</v>
      </c>
      <c r="O134" s="61">
        <f>IF($P134="A",SUMIFS(O135:O$181,$A135:$A$181,LEFT($A134,$Q134)&amp;"*",$P135:$P$181,"R"),0)</f>
        <v>0</v>
      </c>
      <c r="P134" s="41" t="str">
        <f t="shared" si="17"/>
        <v>R</v>
      </c>
      <c r="Q134" s="41">
        <f t="shared" si="18"/>
        <v>4</v>
      </c>
      <c r="R134" s="55" t="e">
        <f t="shared" si="10"/>
        <v>#VALUE!</v>
      </c>
      <c r="S134" s="56"/>
      <c r="T134" s="57"/>
      <c r="U134" s="6"/>
      <c r="V134" s="45"/>
      <c r="W134" s="46"/>
      <c r="X134" s="47"/>
      <c r="Y134" s="46"/>
      <c r="Z134" s="48"/>
      <c r="AA134" s="49"/>
      <c r="AB134" s="39"/>
      <c r="AC134" s="39"/>
      <c r="AD134" s="39"/>
      <c r="AE134" s="39"/>
      <c r="AF134" s="39"/>
      <c r="AG134" s="39"/>
    </row>
    <row r="135" spans="1:33" s="50" customFormat="1" ht="15" hidden="1" x14ac:dyDescent="0.2">
      <c r="A135" s="51" t="s">
        <v>166</v>
      </c>
      <c r="B135" s="51"/>
      <c r="C135" s="65" t="str">
        <f>IFERROR(INDEX('[1]Balanza Egresos'!A$1:C$65536,MATCH(A135,'[1]Balanza Egresos'!A$1:A$65536,0),2),"SIN CUENTA")</f>
        <v>SIN CUENTA</v>
      </c>
      <c r="D135" s="53" t="e">
        <f>IF($P135="A",SUMIFS(D136:D$181,$A136:$A$181,LEFT($A135,$Q135)&amp;"*",$P136:$P$181,"R"),SUMIFS('[1]Balanza Egresos'!$F$1:$F$65536,'[1]Balanza Egresos'!$A$1:$A$65536,$A135))</f>
        <v>#VALUE!</v>
      </c>
      <c r="E135" s="53" t="e">
        <f>IF($P135="A",SUMIFS(E136:E$181,$A136:$A$181,LEFT($A135,$Q135)&amp;"*",$P136:$P$181,"R"),((H135/[1]Parametros!$E$12)*12)+$I135)</f>
        <v>#VALUE!</v>
      </c>
      <c r="F135" s="37">
        <f>IF($P135="A",SUMIFS(F$181:F187,$A$181:$A187,LEFT($A135,$Q135)&amp;"*",$P$181:$P187,"R"),K135+L135+M135+N135)</f>
        <v>0</v>
      </c>
      <c r="G135" s="58"/>
      <c r="H135" s="59" t="e">
        <f>IF($P135="A",SUMIFS(H136:H$181,$A136:$A$181,LEFT($A135,$Q135)&amp;"*",$P136:$P$181,"R"),SUMIFS('[1]Balanza Egresos'!$V$1:$V$65536,'[1]Balanza Egresos'!$A$1:$A$65536,$A135))</f>
        <v>#VALUE!</v>
      </c>
      <c r="I135" s="66"/>
      <c r="J135" s="39"/>
      <c r="K135" s="61">
        <f>IF($P135="A",SUMIFS(K136:K$181,$A136:$A$181,LEFT($A135,$Q135)&amp;"*",$P136:$P$181,"R"),0)</f>
        <v>0</v>
      </c>
      <c r="L135" s="61">
        <f>IF($P135="A",SUMIFS(L136:L$181,$A136:$A$181,LEFT($A135,$Q135)&amp;"*",$P136:$P$181,"R"),0)</f>
        <v>0</v>
      </c>
      <c r="M135" s="61">
        <f>IF($P135="A",SUMIFS(M136:M$181,$A136:$A$181,LEFT($A135,$Q135)&amp;"*",$P136:$P$181,"R"),0)</f>
        <v>0</v>
      </c>
      <c r="N135" s="61">
        <f>IF($P135="A",SUMIFS(N136:N$181,$A136:$A$181,LEFT($A135,$Q135)&amp;"*",$P136:$P$181,"R"),0)</f>
        <v>0</v>
      </c>
      <c r="O135" s="61">
        <f>IF($P135="A",SUMIFS(O136:O$181,$A136:$A$181,LEFT($A135,$Q135)&amp;"*",$P136:$P$181,"R"),0)</f>
        <v>0</v>
      </c>
      <c r="P135" s="41" t="str">
        <f t="shared" si="17"/>
        <v>A</v>
      </c>
      <c r="Q135" s="41">
        <f t="shared" si="18"/>
        <v>3</v>
      </c>
      <c r="R135" s="55" t="e">
        <f t="shared" si="10"/>
        <v>#VALUE!</v>
      </c>
      <c r="S135" s="56"/>
      <c r="T135" s="57"/>
      <c r="U135" s="6"/>
      <c r="V135" s="45"/>
      <c r="W135" s="46"/>
      <c r="X135" s="47"/>
      <c r="Y135" s="46"/>
      <c r="Z135" s="48"/>
      <c r="AA135" s="49"/>
      <c r="AB135" s="39"/>
      <c r="AC135" s="39"/>
      <c r="AD135" s="39"/>
      <c r="AE135" s="39"/>
      <c r="AF135" s="39"/>
      <c r="AG135" s="39"/>
    </row>
    <row r="136" spans="1:33" s="50" customFormat="1" ht="15" hidden="1" x14ac:dyDescent="0.2">
      <c r="A136" s="51" t="s">
        <v>167</v>
      </c>
      <c r="B136" s="51"/>
      <c r="C136" s="65" t="str">
        <f>IFERROR(INDEX('[1]Balanza Egresos'!A$1:C$65536,MATCH(A136,'[1]Balanza Egresos'!A$1:A$65536,0),2),"SIN CUENTA")</f>
        <v>SIN CUENTA</v>
      </c>
      <c r="D136" s="53" t="e">
        <f>IF($P136="A",SUMIFS(D137:D$181,$A137:$A$181,LEFT($A136,$Q136)&amp;"*",$P137:$P$181,"R"),SUMIFS('[1]Balanza Egresos'!$F$1:$F$65536,'[1]Balanza Egresos'!$A$1:$A$65536,$A136))</f>
        <v>#VALUE!</v>
      </c>
      <c r="E136" s="53" t="e">
        <f>IF($P136="A",SUMIFS(E137:E$181,$A137:$A$181,LEFT($A136,$Q136)&amp;"*",$P137:$P$181,"R"),((H136/[1]Parametros!$E$12)*12)+$I136)</f>
        <v>#VALUE!</v>
      </c>
      <c r="F136" s="37">
        <f>IF($P136="A",SUMIFS(F137:F$181,$A137:$A$181,LEFT($A136,$Q136)&amp;"*",$P137:$P$181,"R"),K136+L136+M136+N136+O136)</f>
        <v>0</v>
      </c>
      <c r="G136" s="58"/>
      <c r="H136" s="59" t="e">
        <f>IF($P136="A",SUMIFS(H137:H$181,$A137:$A$181,LEFT($A136,$Q136)&amp;"*",$P137:$P$181,"R"),SUMIFS('[1]Balanza Egresos'!$V$1:$V$65536,'[1]Balanza Egresos'!$A$1:$A$65536,$A136))</f>
        <v>#VALUE!</v>
      </c>
      <c r="I136" s="66"/>
      <c r="J136" s="39"/>
      <c r="K136" s="61">
        <f>IF($P136="A",SUMIFS(K137:K$181,$A137:$A$181,LEFT($A136,$Q136)&amp;"*",$P137:$P$181,"R"),0)</f>
        <v>0</v>
      </c>
      <c r="L136" s="61">
        <f>IF($P136="A",SUMIFS(L137:L$181,$A137:$A$181,LEFT($A136,$Q136)&amp;"*",$P137:$P$181,"R"),0)</f>
        <v>0</v>
      </c>
      <c r="M136" s="61">
        <f>IF($P136="A",SUMIFS(M137:M$181,$A137:$A$181,LEFT($A136,$Q136)&amp;"*",$P137:$P$181,"R"),0)</f>
        <v>0</v>
      </c>
      <c r="N136" s="61">
        <f>IF($P136="A",SUMIFS(N137:N$181,$A137:$A$181,LEFT($A136,$Q136)&amp;"*",$P137:$P$181,"R"),0)</f>
        <v>0</v>
      </c>
      <c r="O136" s="61">
        <f>IF($P136="A",SUMIFS(O137:O$181,$A137:$A$181,LEFT($A136,$Q136)&amp;"*",$P137:$P$181,"R"),0)</f>
        <v>0</v>
      </c>
      <c r="P136" s="41" t="str">
        <f t="shared" si="17"/>
        <v>R</v>
      </c>
      <c r="Q136" s="41">
        <f t="shared" si="18"/>
        <v>4</v>
      </c>
      <c r="R136" s="55" t="e">
        <f t="shared" si="10"/>
        <v>#VALUE!</v>
      </c>
      <c r="S136" s="56"/>
      <c r="T136" s="57"/>
      <c r="U136" s="6"/>
      <c r="V136" s="45"/>
      <c r="W136" s="46"/>
      <c r="X136" s="47"/>
      <c r="Y136" s="46"/>
      <c r="Z136" s="48"/>
      <c r="AA136" s="49"/>
      <c r="AB136" s="39"/>
      <c r="AC136" s="39"/>
      <c r="AD136" s="39"/>
      <c r="AE136" s="39"/>
      <c r="AF136" s="39"/>
      <c r="AG136" s="39"/>
    </row>
    <row r="137" spans="1:33" s="50" customFormat="1" ht="15" hidden="1" x14ac:dyDescent="0.2">
      <c r="A137" s="51" t="s">
        <v>168</v>
      </c>
      <c r="B137" s="51"/>
      <c r="C137" s="65" t="str">
        <f>IFERROR(INDEX('[1]Balanza Egresos'!A$1:C$65536,MATCH(A137,'[1]Balanza Egresos'!A$1:A$65536,0),2),"SIN CUENTA")</f>
        <v>SIN CUENTA</v>
      </c>
      <c r="D137" s="53" t="e">
        <f>IF($P137="A",SUMIFS(D138:D$181,$A138:$A$181,LEFT($A137,$Q137)&amp;"*",$P138:$P$181,"R"),SUMIFS('[1]Balanza Egresos'!$F$1:$F$65536,'[1]Balanza Egresos'!$A$1:$A$65536,$A137))</f>
        <v>#VALUE!</v>
      </c>
      <c r="E137" s="53" t="e">
        <f>IF($P137="A",SUMIFS(E138:E$181,$A138:$A$181,LEFT($A137,$Q137)&amp;"*",$P138:$P$181,"R"),((H137/[1]Parametros!$E$12)*12)+$I137)</f>
        <v>#VALUE!</v>
      </c>
      <c r="F137" s="37">
        <f>IF($P137="A",SUMIFS(F$181:F189,$A$181:$A189,LEFT($A137,$Q137)&amp;"*",$P$181:$P189,"R"),K137+L137+M137+N137)</f>
        <v>0</v>
      </c>
      <c r="G137" s="58"/>
      <c r="H137" s="59" t="e">
        <f>IF($P137="A",SUMIFS(H138:H$181,$A138:$A$181,LEFT($A137,$Q137)&amp;"*",$P138:$P$181,"R"),SUMIFS('[1]Balanza Egresos'!$V$1:$V$65536,'[1]Balanza Egresos'!$A$1:$A$65536,$A137))</f>
        <v>#VALUE!</v>
      </c>
      <c r="I137" s="66"/>
      <c r="J137" s="39"/>
      <c r="K137" s="61">
        <f>IF($P137="A",SUMIFS(K138:K$181,$A138:$A$181,LEFT($A137,$Q137)&amp;"*",$P138:$P$181,"R"),0)</f>
        <v>0</v>
      </c>
      <c r="L137" s="61">
        <f>IF($P137="A",SUMIFS(L138:L$181,$A138:$A$181,LEFT($A137,$Q137)&amp;"*",$P138:$P$181,"R"),0)</f>
        <v>0</v>
      </c>
      <c r="M137" s="61">
        <f>IF($P137="A",SUMIFS(M138:M$181,$A138:$A$181,LEFT($A137,$Q137)&amp;"*",$P138:$P$181,"R"),0)</f>
        <v>0</v>
      </c>
      <c r="N137" s="61">
        <f>IF($P137="A",SUMIFS(N138:N$181,$A138:$A$181,LEFT($A137,$Q137)&amp;"*",$P138:$P$181,"R"),0)</f>
        <v>0</v>
      </c>
      <c r="O137" s="61">
        <f>IF($P137="A",SUMIFS(O138:O$181,$A138:$A$181,LEFT($A137,$Q137)&amp;"*",$P138:$P$181,"R"),0)</f>
        <v>0</v>
      </c>
      <c r="P137" s="41" t="str">
        <f t="shared" si="17"/>
        <v>A</v>
      </c>
      <c r="Q137" s="41">
        <f t="shared" si="18"/>
        <v>3</v>
      </c>
      <c r="R137" s="55" t="e">
        <f t="shared" si="10"/>
        <v>#VALUE!</v>
      </c>
      <c r="S137" s="56"/>
      <c r="T137" s="57"/>
      <c r="U137" s="6"/>
      <c r="V137" s="45"/>
      <c r="W137" s="46"/>
      <c r="X137" s="47"/>
      <c r="Y137" s="46"/>
      <c r="Z137" s="48"/>
      <c r="AA137" s="49"/>
      <c r="AB137" s="39"/>
      <c r="AC137" s="39"/>
      <c r="AD137" s="39"/>
      <c r="AE137" s="39"/>
      <c r="AF137" s="39"/>
      <c r="AG137" s="39"/>
    </row>
    <row r="138" spans="1:33" s="50" customFormat="1" ht="15" hidden="1" x14ac:dyDescent="0.2">
      <c r="A138" s="51" t="s">
        <v>169</v>
      </c>
      <c r="B138" s="51"/>
      <c r="C138" s="65" t="str">
        <f>IFERROR(INDEX('[1]Balanza Egresos'!A$1:C$65536,MATCH(A138,'[1]Balanza Egresos'!A$1:A$65536,0),2),"SIN CUENTA")</f>
        <v>SIN CUENTA</v>
      </c>
      <c r="D138" s="53" t="e">
        <f>IF($P138="A",SUMIFS(D139:D$181,$A139:$A$181,LEFT($A138,$Q138)&amp;"*",$P139:$P$181,"R"),SUMIFS('[1]Balanza Egresos'!$F$1:$F$65536,'[1]Balanza Egresos'!$A$1:$A$65536,$A138))</f>
        <v>#VALUE!</v>
      </c>
      <c r="E138" s="53" t="e">
        <f>IF($P138="A",SUMIFS(E139:E$181,$A139:$A$181,LEFT($A138,$Q138)&amp;"*",$P139:$P$181,"R"),((H138/[1]Parametros!$E$12)*12)+$I138)</f>
        <v>#VALUE!</v>
      </c>
      <c r="F138" s="37">
        <f>IF($P138="A",SUMIFS(F139:F$181,$A139:$A$181,LEFT($A138,$Q138)&amp;"*",$P139:$P$181,"R"),K138+L138+M138+N138+O138)</f>
        <v>0</v>
      </c>
      <c r="G138" s="58"/>
      <c r="H138" s="59" t="e">
        <f>IF($P138="A",SUMIFS(H139:H$181,$A139:$A$181,LEFT($A138,$Q138)&amp;"*",$P139:$P$181,"R"),SUMIFS('[1]Balanza Egresos'!$V$1:$V$65536,'[1]Balanza Egresos'!$A$1:$A$65536,$A138))</f>
        <v>#VALUE!</v>
      </c>
      <c r="I138" s="66"/>
      <c r="J138" s="39"/>
      <c r="K138" s="61">
        <f>IF($P138="A",SUMIFS(K139:K$181,$A139:$A$181,LEFT($A138,$Q138)&amp;"*",$P139:$P$181,"R"),0)</f>
        <v>0</v>
      </c>
      <c r="L138" s="61">
        <f>IF($P138="A",SUMIFS(L139:L$181,$A139:$A$181,LEFT($A138,$Q138)&amp;"*",$P139:$P$181,"R"),0)</f>
        <v>0</v>
      </c>
      <c r="M138" s="61">
        <f>IF($P138="A",SUMIFS(M139:M$181,$A139:$A$181,LEFT($A138,$Q138)&amp;"*",$P139:$P$181,"R"),0)</f>
        <v>0</v>
      </c>
      <c r="N138" s="61">
        <f>IF($P138="A",SUMIFS(N139:N$181,$A139:$A$181,LEFT($A138,$Q138)&amp;"*",$P139:$P$181,"R"),0)</f>
        <v>0</v>
      </c>
      <c r="O138" s="61">
        <f>IF($P138="A",SUMIFS(O139:O$181,$A139:$A$181,LEFT($A138,$Q138)&amp;"*",$P139:$P$181,"R"),0)</f>
        <v>0</v>
      </c>
      <c r="P138" s="41" t="str">
        <f t="shared" si="17"/>
        <v>R</v>
      </c>
      <c r="Q138" s="41">
        <f t="shared" si="18"/>
        <v>4</v>
      </c>
      <c r="R138" s="55" t="e">
        <f t="shared" ref="R138:R181" si="19">IF(ABS(D138+E138+F138+H138)&gt;0,"SI","NO")</f>
        <v>#VALUE!</v>
      </c>
      <c r="S138" s="56"/>
      <c r="T138" s="57"/>
      <c r="U138" s="6"/>
      <c r="V138" s="45"/>
      <c r="W138" s="46"/>
      <c r="X138" s="47"/>
      <c r="Y138" s="46"/>
      <c r="Z138" s="48"/>
      <c r="AA138" s="49"/>
      <c r="AB138" s="39"/>
      <c r="AC138" s="39"/>
      <c r="AD138" s="39"/>
      <c r="AE138" s="39"/>
      <c r="AF138" s="39"/>
      <c r="AG138" s="39"/>
    </row>
    <row r="139" spans="1:33" s="50" customFormat="1" ht="15" hidden="1" x14ac:dyDescent="0.2">
      <c r="A139" s="51" t="s">
        <v>170</v>
      </c>
      <c r="B139" s="51"/>
      <c r="C139" s="65" t="str">
        <f>IFERROR(INDEX('[1]Balanza Egresos'!A$1:C$65536,MATCH(A139,'[1]Balanza Egresos'!A$1:A$65536,0),2),"SIN CUENTA")</f>
        <v>SIN CUENTA</v>
      </c>
      <c r="D139" s="53" t="e">
        <f>IF($P139="A",SUMIFS(D140:D$181,$A140:$A$181,LEFT($A139,$Q139)&amp;"*",$P140:$P$181,"R"),SUMIFS('[1]Balanza Egresos'!$F$1:$F$65536,'[1]Balanza Egresos'!$A$1:$A$65536,$A139))</f>
        <v>#VALUE!</v>
      </c>
      <c r="E139" s="53" t="e">
        <f>IF($P139="A",SUMIFS(E140:E$181,$A140:$A$181,LEFT($A139,$Q139)&amp;"*",$P140:$P$181,"R"),((H139/[1]Parametros!$E$12)*12)+$I139)</f>
        <v>#VALUE!</v>
      </c>
      <c r="F139" s="37">
        <f>IF($P139="A",SUMIFS(F140:F$181,$A140:$A$181,LEFT($A139,$Q139)&amp;"*",$P140:$P$181,"R"),K139+L139+M139+N139+O139)</f>
        <v>0</v>
      </c>
      <c r="G139" s="58"/>
      <c r="H139" s="59" t="e">
        <f>IF($P139="A",SUMIFS(H140:H$181,$A140:$A$181,LEFT($A139,$Q139)&amp;"*",$P140:$P$181,"R"),SUMIFS('[1]Balanza Egresos'!$V$1:$V$65536,'[1]Balanza Egresos'!$A$1:$A$65536,$A139))</f>
        <v>#VALUE!</v>
      </c>
      <c r="I139" s="66"/>
      <c r="J139" s="39"/>
      <c r="K139" s="61">
        <f>IF($P139="A",SUMIFS(K140:K$181,$A140:$A$181,LEFT($A139,$Q139)&amp;"*",$P140:$P$181,"R"),0)</f>
        <v>0</v>
      </c>
      <c r="L139" s="61">
        <f>IF($P139="A",SUMIFS(L140:L$181,$A140:$A$181,LEFT($A139,$Q139)&amp;"*",$P140:$P$181,"R"),0)</f>
        <v>0</v>
      </c>
      <c r="M139" s="61">
        <f>IF($P139="A",SUMIFS(M140:M$181,$A140:$A$181,LEFT($A139,$Q139)&amp;"*",$P140:$P$181,"R"),0)</f>
        <v>0</v>
      </c>
      <c r="N139" s="61">
        <f>IF($P139="A",SUMIFS(N140:N$181,$A140:$A$181,LEFT($A139,$Q139)&amp;"*",$P140:$P$181,"R"),0)</f>
        <v>0</v>
      </c>
      <c r="O139" s="61">
        <f>IF($P139="A",SUMIFS(O140:O$181,$A140:$A$181,LEFT($A139,$Q139)&amp;"*",$P140:$P$181,"R"),0)</f>
        <v>0</v>
      </c>
      <c r="P139" s="41" t="str">
        <f t="shared" si="17"/>
        <v>R</v>
      </c>
      <c r="Q139" s="41">
        <f t="shared" si="18"/>
        <v>4</v>
      </c>
      <c r="R139" s="55" t="e">
        <f t="shared" si="19"/>
        <v>#VALUE!</v>
      </c>
      <c r="S139" s="56"/>
      <c r="T139" s="57"/>
      <c r="U139" s="6"/>
      <c r="V139" s="45"/>
      <c r="W139" s="46"/>
      <c r="X139" s="47"/>
      <c r="Y139" s="46"/>
      <c r="Z139" s="48"/>
      <c r="AA139" s="49"/>
      <c r="AB139" s="39"/>
      <c r="AC139" s="39"/>
      <c r="AD139" s="39"/>
      <c r="AE139" s="39"/>
      <c r="AF139" s="39"/>
      <c r="AG139" s="39"/>
    </row>
    <row r="140" spans="1:33" s="50" customFormat="1" ht="15" hidden="1" x14ac:dyDescent="0.2">
      <c r="A140" s="51" t="s">
        <v>171</v>
      </c>
      <c r="B140" s="51"/>
      <c r="C140" s="65" t="str">
        <f>IFERROR(INDEX('[1]Balanza Egresos'!A$1:C$65536,MATCH(A140,'[1]Balanza Egresos'!A$1:A$65536,0),2),"SIN CUENTA")</f>
        <v>SIN CUENTA</v>
      </c>
      <c r="D140" s="53" t="e">
        <f>IF($P140="A",SUMIFS(D141:D$181,$A141:$A$181,LEFT($A140,$Q140)&amp;"*",$P141:$P$181,"R"),SUMIFS('[1]Balanza Egresos'!$F$1:$F$65536,'[1]Balanza Egresos'!$A$1:$A$65536,$A140))</f>
        <v>#VALUE!</v>
      </c>
      <c r="E140" s="53" t="e">
        <f>IF($P140="A",SUMIFS(E141:E$181,$A141:$A$181,LEFT($A140,$Q140)&amp;"*",$P141:$P$181,"R"),((H140/[1]Parametros!$E$12)*12)+$I140)</f>
        <v>#VALUE!</v>
      </c>
      <c r="F140" s="37">
        <f>IF($P140="A",SUMIFS(F141:F$181,$A141:$A$181,LEFT($A140,$Q140)&amp;"*",$P141:$P$181,"R"),K140+L140+M140+N140+O140)</f>
        <v>0</v>
      </c>
      <c r="G140" s="58"/>
      <c r="H140" s="59" t="e">
        <f>IF($P140="A",SUMIFS(H141:H$181,$A141:$A$181,LEFT($A140,$Q140)&amp;"*",$P141:$P$181,"R"),SUMIFS('[1]Balanza Egresos'!$V$1:$V$65536,'[1]Balanza Egresos'!$A$1:$A$65536,$A140))</f>
        <v>#VALUE!</v>
      </c>
      <c r="I140" s="66"/>
      <c r="J140" s="39"/>
      <c r="K140" s="61">
        <f>IF($P140="A",SUMIFS(K141:K$181,$A141:$A$181,LEFT($A140,$Q140)&amp;"*",$P141:$P$181,"R"),0)</f>
        <v>0</v>
      </c>
      <c r="L140" s="61">
        <f>IF($P140="A",SUMIFS(L141:L$181,$A141:$A$181,LEFT($A140,$Q140)&amp;"*",$P141:$P$181,"R"),0)</f>
        <v>0</v>
      </c>
      <c r="M140" s="61">
        <f>IF($P140="A",SUMIFS(M141:M$181,$A141:$A$181,LEFT($A140,$Q140)&amp;"*",$P141:$P$181,"R"),0)</f>
        <v>0</v>
      </c>
      <c r="N140" s="61">
        <f>IF($P140="A",SUMIFS(N141:N$181,$A141:$A$181,LEFT($A140,$Q140)&amp;"*",$P141:$P$181,"R"),0)</f>
        <v>0</v>
      </c>
      <c r="O140" s="61">
        <f>IF($P140="A",SUMIFS(O141:O$181,$A141:$A$181,LEFT($A140,$Q140)&amp;"*",$P141:$P$181,"R"),0)</f>
        <v>0</v>
      </c>
      <c r="P140" s="41" t="str">
        <f t="shared" si="17"/>
        <v>R</v>
      </c>
      <c r="Q140" s="41">
        <f t="shared" si="18"/>
        <v>4</v>
      </c>
      <c r="R140" s="55" t="e">
        <f t="shared" si="19"/>
        <v>#VALUE!</v>
      </c>
      <c r="S140" s="56"/>
      <c r="T140" s="57"/>
      <c r="U140" s="6"/>
      <c r="V140" s="45"/>
      <c r="W140" s="46"/>
      <c r="X140" s="47"/>
      <c r="Y140" s="46"/>
      <c r="Z140" s="48"/>
      <c r="AA140" s="49"/>
      <c r="AB140" s="39"/>
      <c r="AC140" s="39"/>
      <c r="AD140" s="39"/>
      <c r="AE140" s="39"/>
      <c r="AF140" s="39"/>
      <c r="AG140" s="39"/>
    </row>
    <row r="141" spans="1:33" s="50" customFormat="1" ht="15" hidden="1" x14ac:dyDescent="0.2">
      <c r="A141" s="51" t="s">
        <v>172</v>
      </c>
      <c r="B141" s="51"/>
      <c r="C141" s="65" t="str">
        <f>IFERROR(INDEX('[1]Balanza Egresos'!A$1:C$65536,MATCH(A141,'[1]Balanza Egresos'!A$1:A$65536,0),2),"SIN CUENTA")</f>
        <v>SIN CUENTA</v>
      </c>
      <c r="D141" s="53" t="e">
        <f>IF($P141="A",SUMIFS(D142:D$181,$A142:$A$181,LEFT($A141,$Q141)&amp;"*",$P142:$P$181,"R"),SUMIFS('[1]Balanza Egresos'!$F$1:$F$65536,'[1]Balanza Egresos'!$A$1:$A$65536,$A141))</f>
        <v>#VALUE!</v>
      </c>
      <c r="E141" s="53" t="e">
        <f>IF($P141="A",SUMIFS(E142:E$181,$A142:$A$181,LEFT($A141,$Q141)&amp;"*",$P142:$P$181,"R"),((H141/[1]Parametros!$E$12)*12)+$I141)</f>
        <v>#VALUE!</v>
      </c>
      <c r="F141" s="37">
        <f>IF($P141="A",SUMIFS(F142:F$181,$A142:$A$181,LEFT($A141,$Q141)&amp;"*",$P142:$P$181,"R"),K141+L141+M141+N141+O141)</f>
        <v>0</v>
      </c>
      <c r="G141" s="58"/>
      <c r="H141" s="59" t="e">
        <f>IF($P141="A",SUMIFS(H142:H$181,$A142:$A$181,LEFT($A141,$Q141)&amp;"*",$P142:$P$181,"R"),SUMIFS('[1]Balanza Egresos'!$V$1:$V$65536,'[1]Balanza Egresos'!$A$1:$A$65536,$A141))</f>
        <v>#VALUE!</v>
      </c>
      <c r="I141" s="66"/>
      <c r="J141" s="39"/>
      <c r="K141" s="61">
        <f>IF($P141="A",SUMIFS(K142:K$181,$A142:$A$181,LEFT($A141,$Q141)&amp;"*",$P142:$P$181,"R"),0)</f>
        <v>0</v>
      </c>
      <c r="L141" s="61">
        <f>IF($P141="A",SUMIFS(L142:L$181,$A142:$A$181,LEFT($A141,$Q141)&amp;"*",$P142:$P$181,"R"),0)</f>
        <v>0</v>
      </c>
      <c r="M141" s="61">
        <f>IF($P141="A",SUMIFS(M142:M$181,$A142:$A$181,LEFT($A141,$Q141)&amp;"*",$P142:$P$181,"R"),0)</f>
        <v>0</v>
      </c>
      <c r="N141" s="61">
        <f>IF($P141="A",SUMIFS(N142:N$181,$A142:$A$181,LEFT($A141,$Q141)&amp;"*",$P142:$P$181,"R"),0)</f>
        <v>0</v>
      </c>
      <c r="O141" s="61">
        <f>IF($P141="A",SUMIFS(O142:O$181,$A142:$A$181,LEFT($A141,$Q141)&amp;"*",$P142:$P$181,"R"),0)</f>
        <v>0</v>
      </c>
      <c r="P141" s="41" t="str">
        <f t="shared" si="17"/>
        <v>R</v>
      </c>
      <c r="Q141" s="41">
        <f t="shared" si="18"/>
        <v>4</v>
      </c>
      <c r="R141" s="55" t="e">
        <f t="shared" si="19"/>
        <v>#VALUE!</v>
      </c>
      <c r="S141" s="56"/>
      <c r="T141" s="57"/>
      <c r="U141" s="6"/>
      <c r="V141" s="45"/>
      <c r="W141" s="46"/>
      <c r="X141" s="47"/>
      <c r="Y141" s="46"/>
      <c r="Z141" s="48"/>
      <c r="AA141" s="49"/>
      <c r="AB141" s="39"/>
      <c r="AC141" s="39"/>
      <c r="AD141" s="39"/>
      <c r="AE141" s="39"/>
      <c r="AF141" s="39"/>
      <c r="AG141" s="39"/>
    </row>
    <row r="142" spans="1:33" s="50" customFormat="1" ht="15" hidden="1" x14ac:dyDescent="0.2">
      <c r="A142" s="51" t="s">
        <v>173</v>
      </c>
      <c r="B142" s="51"/>
      <c r="C142" s="65" t="str">
        <f>IFERROR(INDEX('[1]Balanza Egresos'!A$1:C$65536,MATCH(A142,'[1]Balanza Egresos'!A$1:A$65536,0),2),"SIN CUENTA")</f>
        <v>SIN CUENTA</v>
      </c>
      <c r="D142" s="53" t="e">
        <f>IF($P142="A",SUMIFS(D143:D$181,$A143:$A$181,LEFT($A142,$Q142)&amp;"*",$P143:$P$181,"R"),SUMIFS('[1]Balanza Egresos'!$F$1:$F$65536,'[1]Balanza Egresos'!$A$1:$A$65536,$A142))</f>
        <v>#VALUE!</v>
      </c>
      <c r="E142" s="53" t="e">
        <f>IF($P142="A",SUMIFS(E143:E$181,$A143:$A$181,LEFT($A142,$Q142)&amp;"*",$P143:$P$181,"R"),((H142/[1]Parametros!$E$12)*12)+$I142)</f>
        <v>#VALUE!</v>
      </c>
      <c r="F142" s="37">
        <f>IF($P142="A",SUMIFS(F143:F$181,$A143:$A$181,LEFT($A142,$Q142)&amp;"*",$P143:$P$181,"R"),K142+L142+M142+N142+O142)</f>
        <v>0</v>
      </c>
      <c r="G142" s="58"/>
      <c r="H142" s="59" t="e">
        <f>IF($P142="A",SUMIFS(H143:H$181,$A143:$A$181,LEFT($A142,$Q142)&amp;"*",$P143:$P$181,"R"),SUMIFS('[1]Balanza Egresos'!$V$1:$V$65536,'[1]Balanza Egresos'!$A$1:$A$65536,$A142))</f>
        <v>#VALUE!</v>
      </c>
      <c r="I142" s="66"/>
      <c r="J142" s="39"/>
      <c r="K142" s="61">
        <f>IF($P142="A",SUMIFS(K143:K$181,$A143:$A$181,LEFT($A142,$Q142)&amp;"*",$P143:$P$181,"R"),0)</f>
        <v>0</v>
      </c>
      <c r="L142" s="61">
        <f>IF($P142="A",SUMIFS(L143:L$181,$A143:$A$181,LEFT($A142,$Q142)&amp;"*",$P143:$P$181,"R"),0)</f>
        <v>0</v>
      </c>
      <c r="M142" s="61">
        <f>IF($P142="A",SUMIFS(M143:M$181,$A143:$A$181,LEFT($A142,$Q142)&amp;"*",$P143:$P$181,"R"),0)</f>
        <v>0</v>
      </c>
      <c r="N142" s="61">
        <f>IF($P142="A",SUMIFS(N143:N$181,$A143:$A$181,LEFT($A142,$Q142)&amp;"*",$P143:$P$181,"R"),0)</f>
        <v>0</v>
      </c>
      <c r="O142" s="61">
        <f>IF($P142="A",SUMIFS(O143:O$181,$A143:$A$181,LEFT($A142,$Q142)&amp;"*",$P143:$P$181,"R"),0)</f>
        <v>0</v>
      </c>
      <c r="P142" s="41" t="str">
        <f t="shared" ref="P142:P181" si="20">IF(RIGHT(A142,2)="00","A","R")</f>
        <v>R</v>
      </c>
      <c r="Q142" s="41">
        <f t="shared" si="18"/>
        <v>4</v>
      </c>
      <c r="R142" s="55" t="e">
        <f t="shared" si="19"/>
        <v>#VALUE!</v>
      </c>
      <c r="S142" s="56"/>
      <c r="T142" s="57"/>
      <c r="U142" s="6"/>
      <c r="V142" s="45"/>
      <c r="W142" s="46"/>
      <c r="X142" s="47"/>
      <c r="Y142" s="46"/>
      <c r="Z142" s="48"/>
      <c r="AA142" s="49"/>
      <c r="AB142" s="39"/>
      <c r="AC142" s="39"/>
      <c r="AD142" s="39"/>
      <c r="AE142" s="39"/>
      <c r="AF142" s="39"/>
      <c r="AG142" s="39"/>
    </row>
    <row r="143" spans="1:33" s="50" customFormat="1" ht="15" hidden="1" x14ac:dyDescent="0.2">
      <c r="A143" s="51" t="s">
        <v>174</v>
      </c>
      <c r="B143" s="51"/>
      <c r="C143" s="65" t="str">
        <f>IFERROR(INDEX('[1]Balanza Egresos'!A$1:C$65536,MATCH(A143,'[1]Balanza Egresos'!A$1:A$65536,0),2),"SIN CUENTA")</f>
        <v>SIN CUENTA</v>
      </c>
      <c r="D143" s="53" t="e">
        <f>IF($P143="A",SUMIFS(D144:D$181,$A144:$A$181,LEFT($A143,$Q143)&amp;"*",$P144:$P$181,"R"),SUMIFS('[1]Balanza Egresos'!$F$1:$F$65536,'[1]Balanza Egresos'!$A$1:$A$65536,$A143))</f>
        <v>#VALUE!</v>
      </c>
      <c r="E143" s="53" t="e">
        <f>IF($P143="A",SUMIFS(E144:E$181,$A144:$A$181,LEFT($A143,$Q143)&amp;"*",$P144:$P$181,"R"),((H143/[1]Parametros!$E$12)*12)+$I143)</f>
        <v>#VALUE!</v>
      </c>
      <c r="F143" s="37">
        <f>IF($P143="A",SUMIFS(F144:F$181,$A144:$A$181,LEFT($A143,$Q143)&amp;"*",$P144:$P$181,"R"),K143+L143+M143+N143+O143)</f>
        <v>0</v>
      </c>
      <c r="G143" s="58"/>
      <c r="H143" s="59" t="e">
        <f>IF($P143="A",SUMIFS(H144:H$181,$A144:$A$181,LEFT($A143,$Q143)&amp;"*",$P144:$P$181,"R"),SUMIFS('[1]Balanza Egresos'!$V$1:$V$65536,'[1]Balanza Egresos'!$A$1:$A$65536,$A143))</f>
        <v>#VALUE!</v>
      </c>
      <c r="I143" s="66"/>
      <c r="J143" s="39"/>
      <c r="K143" s="61">
        <f>IF($P143="A",SUMIFS(K144:K$181,$A144:$A$181,LEFT($A143,$Q143)&amp;"*",$P144:$P$181,"R"),0)</f>
        <v>0</v>
      </c>
      <c r="L143" s="61">
        <f>IF($P143="A",SUMIFS(L144:L$181,$A144:$A$181,LEFT($A143,$Q143)&amp;"*",$P144:$P$181,"R"),0)</f>
        <v>0</v>
      </c>
      <c r="M143" s="61">
        <f>IF($P143="A",SUMIFS(M144:M$181,$A144:$A$181,LEFT($A143,$Q143)&amp;"*",$P144:$P$181,"R"),0)</f>
        <v>0</v>
      </c>
      <c r="N143" s="61">
        <f>IF($P143="A",SUMIFS(N144:N$181,$A144:$A$181,LEFT($A143,$Q143)&amp;"*",$P144:$P$181,"R"),0)</f>
        <v>0</v>
      </c>
      <c r="O143" s="61">
        <f>IF($P143="A",SUMIFS(O144:O$181,$A144:$A$181,LEFT($A143,$Q143)&amp;"*",$P144:$P$181,"R"),0)</f>
        <v>0</v>
      </c>
      <c r="P143" s="41" t="str">
        <f t="shared" si="20"/>
        <v>R</v>
      </c>
      <c r="Q143" s="41">
        <f t="shared" si="18"/>
        <v>4</v>
      </c>
      <c r="R143" s="55" t="e">
        <f t="shared" si="19"/>
        <v>#VALUE!</v>
      </c>
      <c r="S143" s="56"/>
      <c r="T143" s="57"/>
      <c r="U143" s="6"/>
      <c r="V143" s="45"/>
      <c r="W143" s="46"/>
      <c r="X143" s="47"/>
      <c r="Y143" s="46"/>
      <c r="Z143" s="48"/>
      <c r="AA143" s="49"/>
      <c r="AB143" s="39"/>
      <c r="AC143" s="39"/>
      <c r="AD143" s="39"/>
      <c r="AE143" s="39"/>
      <c r="AF143" s="39"/>
      <c r="AG143" s="39"/>
    </row>
    <row r="144" spans="1:33" s="50" customFormat="1" ht="15" hidden="1" x14ac:dyDescent="0.2">
      <c r="A144" s="51" t="s">
        <v>175</v>
      </c>
      <c r="B144" s="51"/>
      <c r="C144" s="65" t="str">
        <f>IFERROR(INDEX('[1]Balanza Egresos'!A$1:C$65536,MATCH(A144,'[1]Balanza Egresos'!A$1:A$65536,0),2),"SIN CUENTA")</f>
        <v>SIN CUENTA</v>
      </c>
      <c r="D144" s="53" t="e">
        <f>IF($P144="A",SUMIFS(D145:D$181,$A145:$A$181,LEFT($A144,$Q144)&amp;"*",$P145:$P$181,"R"),SUMIFS('[1]Balanza Egresos'!$F$1:$F$65536,'[1]Balanza Egresos'!$A$1:$A$65536,$A144))</f>
        <v>#VALUE!</v>
      </c>
      <c r="E144" s="53" t="e">
        <f>IF($P144="A",SUMIFS(E145:E$181,$A145:$A$181,LEFT($A144,$Q144)&amp;"*",$P145:$P$181,"R"),((H144/[1]Parametros!$E$12)*12)+$I144)</f>
        <v>#VALUE!</v>
      </c>
      <c r="F144" s="37">
        <f>IF($P144="A",SUMIFS(F145:F$181,$A145:$A$181,LEFT($A144,$Q144)&amp;"*",$P145:$P$181,"R"),K144+L144+M144+N144+O144)</f>
        <v>0</v>
      </c>
      <c r="G144" s="58"/>
      <c r="H144" s="59" t="e">
        <f>IF($P144="A",SUMIFS(H145:H$181,$A145:$A$181,LEFT($A144,$Q144)&amp;"*",$P145:$P$181,"R"),SUMIFS('[1]Balanza Egresos'!$V$1:$V$65536,'[1]Balanza Egresos'!$A$1:$A$65536,$A144))</f>
        <v>#VALUE!</v>
      </c>
      <c r="I144" s="66"/>
      <c r="J144" s="39"/>
      <c r="K144" s="61">
        <f>IF($P144="A",SUMIFS(K145:K$181,$A145:$A$181,LEFT($A144,$Q144)&amp;"*",$P145:$P$181,"R"),0)</f>
        <v>0</v>
      </c>
      <c r="L144" s="61">
        <f>IF($P144="A",SUMIFS(L145:L$181,$A145:$A$181,LEFT($A144,$Q144)&amp;"*",$P145:$P$181,"R"),0)</f>
        <v>0</v>
      </c>
      <c r="M144" s="61">
        <f>IF($P144="A",SUMIFS(M145:M$181,$A145:$A$181,LEFT($A144,$Q144)&amp;"*",$P145:$P$181,"R"),0)</f>
        <v>0</v>
      </c>
      <c r="N144" s="61">
        <f>IF($P144="A",SUMIFS(N145:N$181,$A145:$A$181,LEFT($A144,$Q144)&amp;"*",$P145:$P$181,"R"),0)</f>
        <v>0</v>
      </c>
      <c r="O144" s="61">
        <f>IF($P144="A",SUMIFS(O145:O$181,$A145:$A$181,LEFT($A144,$Q144)&amp;"*",$P145:$P$181,"R"),0)</f>
        <v>0</v>
      </c>
      <c r="P144" s="41" t="str">
        <f t="shared" si="20"/>
        <v>R</v>
      </c>
      <c r="Q144" s="41">
        <f t="shared" si="18"/>
        <v>4</v>
      </c>
      <c r="R144" s="55" t="e">
        <f t="shared" si="19"/>
        <v>#VALUE!</v>
      </c>
      <c r="S144" s="56"/>
      <c r="T144" s="57"/>
      <c r="U144" s="6"/>
      <c r="V144" s="45"/>
      <c r="W144" s="46"/>
      <c r="X144" s="47"/>
      <c r="Y144" s="46"/>
      <c r="Z144" s="48"/>
      <c r="AA144" s="49"/>
      <c r="AB144" s="39"/>
      <c r="AC144" s="39"/>
      <c r="AD144" s="39"/>
      <c r="AE144" s="39"/>
      <c r="AF144" s="39"/>
      <c r="AG144" s="39"/>
    </row>
    <row r="145" spans="1:33" s="50" customFormat="1" ht="15" hidden="1" x14ac:dyDescent="0.2">
      <c r="A145" s="51" t="s">
        <v>176</v>
      </c>
      <c r="B145" s="51"/>
      <c r="C145" s="65" t="str">
        <f>IFERROR(INDEX('[1]Balanza Egresos'!A$1:C$65536,MATCH(A145,'[1]Balanza Egresos'!A$1:A$65536,0),2),"SIN CUENTA")</f>
        <v>SIN CUENTA</v>
      </c>
      <c r="D145" s="53" t="e">
        <f>IF($P145="A",SUMIFS(D146:D$181,$A146:$A$181,LEFT($A145,$Q145)&amp;"*",$P146:$P$181,"R"),SUMIFS('[1]Balanza Egresos'!$F$1:$F$65536,'[1]Balanza Egresos'!$A$1:$A$65536,$A145))</f>
        <v>#VALUE!</v>
      </c>
      <c r="E145" s="53" t="e">
        <f>IF($P145="A",SUMIFS(E146:E$181,$A146:$A$181,LEFT($A145,$Q145)&amp;"*",$P146:$P$181,"R"),((H145/[1]Parametros!$E$12)*12)+$I145)</f>
        <v>#VALUE!</v>
      </c>
      <c r="F145" s="37">
        <f>IF($P145="A",SUMIFS(F146:F$181,$A146:$A$181,LEFT($A145,$Q145)&amp;"*",$P146:$P$181,"R"),K145+L145+M145+N145+O145)</f>
        <v>0</v>
      </c>
      <c r="G145" s="58"/>
      <c r="H145" s="59" t="e">
        <f>IF($P145="A",SUMIFS(H146:H$181,$A146:$A$181,LEFT($A145,$Q145)&amp;"*",$P146:$P$181,"R"),SUMIFS('[1]Balanza Egresos'!$V$1:$V$65536,'[1]Balanza Egresos'!$A$1:$A$65536,$A145))</f>
        <v>#VALUE!</v>
      </c>
      <c r="I145" s="66"/>
      <c r="J145" s="39"/>
      <c r="K145" s="61">
        <f>IF($P145="A",SUMIFS(K146:K$181,$A146:$A$181,LEFT($A145,$Q145)&amp;"*",$P146:$P$181,"R"),0)</f>
        <v>0</v>
      </c>
      <c r="L145" s="61">
        <f>IF($P145="A",SUMIFS(L146:L$181,$A146:$A$181,LEFT($A145,$Q145)&amp;"*",$P146:$P$181,"R"),0)</f>
        <v>0</v>
      </c>
      <c r="M145" s="61">
        <f>IF($P145="A",SUMIFS(M146:M$181,$A146:$A$181,LEFT($A145,$Q145)&amp;"*",$P146:$P$181,"R"),0)</f>
        <v>0</v>
      </c>
      <c r="N145" s="61">
        <f>IF($P145="A",SUMIFS(N146:N$181,$A146:$A$181,LEFT($A145,$Q145)&amp;"*",$P146:$P$181,"R"),0)</f>
        <v>0</v>
      </c>
      <c r="O145" s="61">
        <f>IF($P145="A",SUMIFS(O146:O$181,$A146:$A$181,LEFT($A145,$Q145)&amp;"*",$P146:$P$181,"R"),0)</f>
        <v>0</v>
      </c>
      <c r="P145" s="41" t="str">
        <f t="shared" si="20"/>
        <v>R</v>
      </c>
      <c r="Q145" s="41">
        <f t="shared" si="18"/>
        <v>4</v>
      </c>
      <c r="R145" s="55" t="e">
        <f t="shared" si="19"/>
        <v>#VALUE!</v>
      </c>
      <c r="S145" s="56"/>
      <c r="T145" s="57"/>
      <c r="U145" s="6"/>
      <c r="V145" s="45"/>
      <c r="W145" s="46"/>
      <c r="X145" s="47"/>
      <c r="Y145" s="46"/>
      <c r="Z145" s="48"/>
      <c r="AA145" s="49"/>
      <c r="AB145" s="39"/>
      <c r="AC145" s="39"/>
      <c r="AD145" s="39"/>
      <c r="AE145" s="39"/>
      <c r="AF145" s="39"/>
      <c r="AG145" s="39"/>
    </row>
    <row r="146" spans="1:33" s="50" customFormat="1" ht="15" hidden="1" x14ac:dyDescent="0.2">
      <c r="A146" s="51" t="s">
        <v>177</v>
      </c>
      <c r="B146" s="51"/>
      <c r="C146" s="65" t="str">
        <f>IFERROR(INDEX('[1]Balanza Egresos'!A$1:C$65536,MATCH(A146,'[1]Balanza Egresos'!A$1:A$65536,0),2),"SIN CUENTA")</f>
        <v>SIN CUENTA</v>
      </c>
      <c r="D146" s="53" t="e">
        <f>IF($P146="A",SUMIFS(D147:D$181,$A147:$A$181,LEFT($A146,$Q146)&amp;"*",$P147:$P$181,"R"),SUMIFS('[1]Balanza Egresos'!$F$1:$F$65536,'[1]Balanza Egresos'!$A$1:$A$65536,$A146))</f>
        <v>#VALUE!</v>
      </c>
      <c r="E146" s="53" t="e">
        <f>IF($P146="A",SUMIFS(E147:E$181,$A147:$A$181,LEFT($A146,$Q146)&amp;"*",$P147:$P$181,"R"),((H146/[1]Parametros!$E$12)*12)+$I146)</f>
        <v>#VALUE!</v>
      </c>
      <c r="F146" s="37">
        <f>IF($P146="A",SUMIFS(F$181:F191,$A$181:$A191,LEFT($A146,$Q146)&amp;"*",$P$181:$P191,"R"),K146+L146+M146+N146)</f>
        <v>0</v>
      </c>
      <c r="G146" s="58"/>
      <c r="H146" s="59" t="e">
        <f>IF($P146="A",SUMIFS(H147:H$181,$A147:$A$181,LEFT($A146,$Q146)&amp;"*",$P147:$P$181,"R"),SUMIFS('[1]Balanza Egresos'!$V$1:$V$65536,'[1]Balanza Egresos'!$A$1:$A$65536,$A146))</f>
        <v>#VALUE!</v>
      </c>
      <c r="I146" s="66"/>
      <c r="J146" s="39"/>
      <c r="K146" s="61">
        <f>IF($P146="A",SUMIFS(K147:K$181,$A147:$A$181,LEFT($A146,$Q146)&amp;"*",$P147:$P$181,"R"),0)</f>
        <v>0</v>
      </c>
      <c r="L146" s="61">
        <f>IF($P146="A",SUMIFS(L147:L$181,$A147:$A$181,LEFT($A146,$Q146)&amp;"*",$P147:$P$181,"R"),0)</f>
        <v>0</v>
      </c>
      <c r="M146" s="61">
        <f>IF($P146="A",SUMIFS(M147:M$181,$A147:$A$181,LEFT($A146,$Q146)&amp;"*",$P147:$P$181,"R"),0)</f>
        <v>0</v>
      </c>
      <c r="N146" s="61">
        <f>IF($P146="A",SUMIFS(N147:N$181,$A147:$A$181,LEFT($A146,$Q146)&amp;"*",$P147:$P$181,"R"),0)</f>
        <v>0</v>
      </c>
      <c r="O146" s="61">
        <f>IF($P146="A",SUMIFS(O147:O$181,$A147:$A$181,LEFT($A146,$Q146)&amp;"*",$P147:$P$181,"R"),0)</f>
        <v>0</v>
      </c>
      <c r="P146" s="41" t="str">
        <f t="shared" si="20"/>
        <v>A</v>
      </c>
      <c r="Q146" s="41">
        <f t="shared" si="18"/>
        <v>3</v>
      </c>
      <c r="R146" s="55" t="e">
        <f t="shared" si="19"/>
        <v>#VALUE!</v>
      </c>
      <c r="S146" s="56"/>
      <c r="T146" s="57"/>
      <c r="U146" s="6"/>
      <c r="V146" s="45"/>
      <c r="W146" s="46"/>
      <c r="X146" s="47"/>
      <c r="Y146" s="46"/>
      <c r="Z146" s="48"/>
      <c r="AA146" s="49"/>
      <c r="AB146" s="39"/>
      <c r="AC146" s="39"/>
      <c r="AD146" s="39"/>
      <c r="AE146" s="39"/>
      <c r="AF146" s="39"/>
      <c r="AG146" s="39"/>
    </row>
    <row r="147" spans="1:33" s="50" customFormat="1" ht="15" hidden="1" x14ac:dyDescent="0.2">
      <c r="A147" s="51" t="s">
        <v>178</v>
      </c>
      <c r="B147" s="51"/>
      <c r="C147" s="65" t="str">
        <f>IFERROR(INDEX('[1]Balanza Egresos'!A$1:C$65536,MATCH(A147,'[1]Balanza Egresos'!A$1:A$65536,0),2),"SIN CUENTA")</f>
        <v>SIN CUENTA</v>
      </c>
      <c r="D147" s="53" t="e">
        <f>IF($P147="A",SUMIFS(D148:D$181,$A148:$A$181,LEFT($A147,$Q147)&amp;"*",$P148:$P$181,"R"),SUMIFS('[1]Balanza Egresos'!$F$1:$F$65536,'[1]Balanza Egresos'!$A$1:$A$65536,$A147))</f>
        <v>#VALUE!</v>
      </c>
      <c r="E147" s="53" t="e">
        <f>IF($P147="A",SUMIFS(E148:E$181,$A148:$A$181,LEFT($A147,$Q147)&amp;"*",$P148:$P$181,"R"),((H147/[1]Parametros!$E$12)*12)+$I147)</f>
        <v>#VALUE!</v>
      </c>
      <c r="F147" s="37">
        <f>IF($P147="A",SUMIFS(F148:F$181,$A148:$A$181,LEFT($A147,$Q147)&amp;"*",$P148:$P$181,"R"),K147+L147+M147+N147+O147)</f>
        <v>0</v>
      </c>
      <c r="G147" s="58"/>
      <c r="H147" s="59" t="e">
        <f>IF($P147="A",SUMIFS(H148:H$181,$A148:$A$181,LEFT($A147,$Q147)&amp;"*",$P148:$P$181,"R"),SUMIFS('[1]Balanza Egresos'!$V$1:$V$65536,'[1]Balanza Egresos'!$A$1:$A$65536,$A147))</f>
        <v>#VALUE!</v>
      </c>
      <c r="I147" s="66"/>
      <c r="J147" s="39"/>
      <c r="K147" s="61">
        <f>IF($P147="A",SUMIFS(K148:K$181,$A148:$A$181,LEFT($A147,$Q147)&amp;"*",$P148:$P$181,"R"),0)</f>
        <v>0</v>
      </c>
      <c r="L147" s="61">
        <f>IF($P147="A",SUMIFS(L148:L$181,$A148:$A$181,LEFT($A147,$Q147)&amp;"*",$P148:$P$181,"R"),0)</f>
        <v>0</v>
      </c>
      <c r="M147" s="61">
        <f>IF($P147="A",SUMIFS(M148:M$181,$A148:$A$181,LEFT($A147,$Q147)&amp;"*",$P148:$P$181,"R"),0)</f>
        <v>0</v>
      </c>
      <c r="N147" s="61">
        <f>IF($P147="A",SUMIFS(N148:N$181,$A148:$A$181,LEFT($A147,$Q147)&amp;"*",$P148:$P$181,"R"),0)</f>
        <v>0</v>
      </c>
      <c r="O147" s="61">
        <f>IF($P147="A",SUMIFS(O148:O$181,$A148:$A$181,LEFT($A147,$Q147)&amp;"*",$P148:$P$181,"R"),0)</f>
        <v>0</v>
      </c>
      <c r="P147" s="41" t="str">
        <f t="shared" si="20"/>
        <v>R</v>
      </c>
      <c r="Q147" s="41">
        <f t="shared" si="18"/>
        <v>4</v>
      </c>
      <c r="R147" s="55" t="e">
        <f t="shared" si="19"/>
        <v>#VALUE!</v>
      </c>
      <c r="S147" s="56"/>
      <c r="T147" s="57"/>
      <c r="U147" s="6"/>
      <c r="V147" s="45"/>
      <c r="W147" s="46"/>
      <c r="X147" s="47"/>
      <c r="Y147" s="46"/>
      <c r="Z147" s="48"/>
      <c r="AA147" s="49"/>
      <c r="AB147" s="39"/>
      <c r="AC147" s="39"/>
      <c r="AD147" s="39"/>
      <c r="AE147" s="39"/>
      <c r="AF147" s="39"/>
      <c r="AG147" s="39"/>
    </row>
    <row r="148" spans="1:33" s="50" customFormat="1" ht="15" hidden="1" x14ac:dyDescent="0.2">
      <c r="A148" s="51" t="s">
        <v>179</v>
      </c>
      <c r="B148" s="51"/>
      <c r="C148" s="65" t="str">
        <f>IFERROR(INDEX('[1]Balanza Egresos'!A$1:C$65536,MATCH(A148,'[1]Balanza Egresos'!A$1:A$65536,0),2),"SIN CUENTA")</f>
        <v>SIN CUENTA</v>
      </c>
      <c r="D148" s="53" t="e">
        <f>IF($P148="A",SUMIFS(D149:D$181,$A149:$A$181,LEFT($A148,$Q148)&amp;"*",$P149:$P$181,"R"),SUMIFS('[1]Balanza Egresos'!$F$1:$F$65536,'[1]Balanza Egresos'!$A$1:$A$65536,$A148))</f>
        <v>#VALUE!</v>
      </c>
      <c r="E148" s="53" t="e">
        <f>IF($P148="A",SUMIFS(E149:E$181,$A149:$A$181,LEFT($A148,$Q148)&amp;"*",$P149:$P$181,"R"),((H148/[1]Parametros!$E$12)*12)+$I148)</f>
        <v>#VALUE!</v>
      </c>
      <c r="F148" s="37">
        <f>IF($P148="A",SUMIFS(F$181:F193,$A$181:$A193,LEFT($A148,$Q148)&amp;"*",$P$181:$P193,"R"),K148+L148+M148+N148)</f>
        <v>0</v>
      </c>
      <c r="G148" s="58"/>
      <c r="H148" s="59" t="e">
        <f>IF($P148="A",SUMIFS(H149:H$181,$A149:$A$181,LEFT($A148,$Q148)&amp;"*",$P149:$P$181,"R"),SUMIFS('[1]Balanza Egresos'!$V$1:$V$65536,'[1]Balanza Egresos'!$A$1:$A$65536,$A148))</f>
        <v>#VALUE!</v>
      </c>
      <c r="I148" s="66"/>
      <c r="J148" s="39"/>
      <c r="K148" s="61">
        <f>IF($P148="A",SUMIFS(K149:K$181,$A149:$A$181,LEFT($A148,$Q148)&amp;"*",$P149:$P$181,"R"),0)</f>
        <v>0</v>
      </c>
      <c r="L148" s="61">
        <f>IF($P148="A",SUMIFS(L149:L$181,$A149:$A$181,LEFT($A148,$Q148)&amp;"*",$P149:$P$181,"R"),0)</f>
        <v>0</v>
      </c>
      <c r="M148" s="61">
        <f>IF($P148="A",SUMIFS(M149:M$181,$A149:$A$181,LEFT($A148,$Q148)&amp;"*",$P149:$P$181,"R"),0)</f>
        <v>0</v>
      </c>
      <c r="N148" s="61">
        <f>IF($P148="A",SUMIFS(N149:N$181,$A149:$A$181,LEFT($A148,$Q148)&amp;"*",$P149:$P$181,"R"),0)</f>
        <v>0</v>
      </c>
      <c r="O148" s="61">
        <f>IF($P148="A",SUMIFS(O149:O$181,$A149:$A$181,LEFT($A148,$Q148)&amp;"*",$P149:$P$181,"R"),0)</f>
        <v>0</v>
      </c>
      <c r="P148" s="41" t="str">
        <f t="shared" si="20"/>
        <v>A</v>
      </c>
      <c r="Q148" s="41">
        <f t="shared" si="18"/>
        <v>3</v>
      </c>
      <c r="R148" s="55" t="e">
        <f t="shared" si="19"/>
        <v>#VALUE!</v>
      </c>
      <c r="S148" s="56"/>
      <c r="T148" s="57"/>
      <c r="U148" s="6"/>
      <c r="V148" s="45"/>
      <c r="W148" s="46"/>
      <c r="X148" s="47"/>
      <c r="Y148" s="46"/>
      <c r="Z148" s="48"/>
      <c r="AA148" s="49"/>
      <c r="AB148" s="39"/>
      <c r="AC148" s="39"/>
      <c r="AD148" s="39"/>
      <c r="AE148" s="39"/>
      <c r="AF148" s="39"/>
      <c r="AG148" s="39"/>
    </row>
    <row r="149" spans="1:33" s="50" customFormat="1" ht="15" hidden="1" x14ac:dyDescent="0.2">
      <c r="A149" s="51" t="s">
        <v>180</v>
      </c>
      <c r="B149" s="51"/>
      <c r="C149" s="65" t="str">
        <f>IFERROR(INDEX('[1]Balanza Egresos'!A$1:C$65536,MATCH(A149,'[1]Balanza Egresos'!A$1:A$65536,0),2),"SIN CUENTA")</f>
        <v>SIN CUENTA</v>
      </c>
      <c r="D149" s="53" t="e">
        <f>IF($P149="A",SUMIFS(D150:D$181,$A150:$A$181,LEFT($A149,$Q149)&amp;"*",$P150:$P$181,"R"),SUMIFS('[1]Balanza Egresos'!$F$1:$F$65536,'[1]Balanza Egresos'!$A$1:$A$65536,$A149))</f>
        <v>#VALUE!</v>
      </c>
      <c r="E149" s="53" t="e">
        <f>IF($P149="A",SUMIFS(E150:E$181,$A150:$A$181,LEFT($A149,$Q149)&amp;"*",$P150:$P$181,"R"),((H149/[1]Parametros!$E$12)*12)+$I149)</f>
        <v>#VALUE!</v>
      </c>
      <c r="F149" s="37">
        <f>IF($P149="A",SUMIFS(F150:F$181,$A150:$A$181,LEFT($A149,$Q149)&amp;"*",$P150:$P$181,"R"),K149+L149+M149+N149+O149)</f>
        <v>0</v>
      </c>
      <c r="G149" s="58"/>
      <c r="H149" s="59" t="e">
        <f>IF($P149="A",SUMIFS(H150:H$181,$A150:$A$181,LEFT($A149,$Q149)&amp;"*",$P150:$P$181,"R"),SUMIFS('[1]Balanza Egresos'!$V$1:$V$65536,'[1]Balanza Egresos'!$A$1:$A$65536,$A149))</f>
        <v>#VALUE!</v>
      </c>
      <c r="I149" s="66"/>
      <c r="J149" s="39"/>
      <c r="K149" s="61">
        <f>IF($P149="A",SUMIFS(K150:K$181,$A150:$A$181,LEFT($A149,$Q149)&amp;"*",$P150:$P$181,"R"),0)</f>
        <v>0</v>
      </c>
      <c r="L149" s="61">
        <f>IF($P149="A",SUMIFS(L150:L$181,$A150:$A$181,LEFT($A149,$Q149)&amp;"*",$P150:$P$181,"R"),0)</f>
        <v>0</v>
      </c>
      <c r="M149" s="61">
        <f>IF($P149="A",SUMIFS(M150:M$181,$A150:$A$181,LEFT($A149,$Q149)&amp;"*",$P150:$P$181,"R"),0)</f>
        <v>0</v>
      </c>
      <c r="N149" s="61">
        <f>IF($P149="A",SUMIFS(N150:N$181,$A150:$A$181,LEFT($A149,$Q149)&amp;"*",$P150:$P$181,"R"),0)</f>
        <v>0</v>
      </c>
      <c r="O149" s="61">
        <f>IF($P149="A",SUMIFS(O150:O$181,$A150:$A$181,LEFT($A149,$Q149)&amp;"*",$P150:$P$181,"R"),0)</f>
        <v>0</v>
      </c>
      <c r="P149" s="41" t="str">
        <f t="shared" si="20"/>
        <v>R</v>
      </c>
      <c r="Q149" s="41">
        <f t="shared" si="18"/>
        <v>4</v>
      </c>
      <c r="R149" s="55" t="e">
        <f t="shared" si="19"/>
        <v>#VALUE!</v>
      </c>
      <c r="S149" s="56"/>
      <c r="T149" s="57"/>
      <c r="U149" s="6"/>
      <c r="V149" s="45"/>
      <c r="W149" s="46"/>
      <c r="X149" s="47"/>
      <c r="Y149" s="46"/>
      <c r="Z149" s="48"/>
      <c r="AA149" s="49"/>
      <c r="AB149" s="39"/>
      <c r="AC149" s="39"/>
      <c r="AD149" s="39"/>
      <c r="AE149" s="39"/>
      <c r="AF149" s="39"/>
      <c r="AG149" s="39"/>
    </row>
    <row r="150" spans="1:33" s="50" customFormat="1" ht="15" hidden="1" x14ac:dyDescent="0.2">
      <c r="A150" s="51" t="s">
        <v>181</v>
      </c>
      <c r="B150" s="51"/>
      <c r="C150" s="65" t="str">
        <f>IFERROR(INDEX('[1]Balanza Egresos'!A$1:C$65536,MATCH(A150,'[1]Balanza Egresos'!A$1:A$65536,0),2),"SIN CUENTA")</f>
        <v>SIN CUENTA</v>
      </c>
      <c r="D150" s="53" t="e">
        <f>IF($P150="A",SUMIFS(D151:D$181,$A151:$A$181,LEFT($A150,$Q150)&amp;"*",$P151:$P$181,"R"),SUMIFS('[1]Balanza Egresos'!$F$1:$F$65536,'[1]Balanza Egresos'!$A$1:$A$65536,$A150))</f>
        <v>#VALUE!</v>
      </c>
      <c r="E150" s="53" t="e">
        <f>IF($P150="A",SUMIFS(E151:E$181,$A151:$A$181,LEFT($A150,$Q150)&amp;"*",$P151:$P$181,"R"),((H150/[1]Parametros!$E$12)*12)+$I150)</f>
        <v>#VALUE!</v>
      </c>
      <c r="F150" s="37">
        <f>IF($P150="A",SUMIFS(F$181:F195,$A$181:$A195,LEFT($A150,$Q150)&amp;"*",$P$181:$P195,"R"),K150+L150+M150+N150)</f>
        <v>0</v>
      </c>
      <c r="G150" s="58"/>
      <c r="H150" s="59" t="e">
        <f>IF($P150="A",SUMIFS(H151:H$181,$A151:$A$181,LEFT($A150,$Q150)&amp;"*",$P151:$P$181,"R"),SUMIFS('[1]Balanza Egresos'!$V$1:$V$65536,'[1]Balanza Egresos'!$A$1:$A$65536,$A150))</f>
        <v>#VALUE!</v>
      </c>
      <c r="I150" s="66"/>
      <c r="J150" s="39"/>
      <c r="K150" s="61">
        <f>IF($P150="A",SUMIFS(K151:K$181,$A151:$A$181,LEFT($A150,$Q150)&amp;"*",$P151:$P$181,"R"),0)</f>
        <v>0</v>
      </c>
      <c r="L150" s="61">
        <f>IF($P150="A",SUMIFS(L151:L$181,$A151:$A$181,LEFT($A150,$Q150)&amp;"*",$P151:$P$181,"R"),0)</f>
        <v>0</v>
      </c>
      <c r="M150" s="61">
        <f>IF($P150="A",SUMIFS(M151:M$181,$A151:$A$181,LEFT($A150,$Q150)&amp;"*",$P151:$P$181,"R"),0)</f>
        <v>0</v>
      </c>
      <c r="N150" s="61">
        <f>IF($P150="A",SUMIFS(N151:N$181,$A151:$A$181,LEFT($A150,$Q150)&amp;"*",$P151:$P$181,"R"),0)</f>
        <v>0</v>
      </c>
      <c r="O150" s="61">
        <f>IF($P150="A",SUMIFS(O151:O$181,$A151:$A$181,LEFT($A150,$Q150)&amp;"*",$P151:$P$181,"R"),0)</f>
        <v>0</v>
      </c>
      <c r="P150" s="41" t="str">
        <f t="shared" si="20"/>
        <v>A</v>
      </c>
      <c r="Q150" s="41">
        <f t="shared" si="18"/>
        <v>3</v>
      </c>
      <c r="R150" s="55" t="e">
        <f t="shared" si="19"/>
        <v>#VALUE!</v>
      </c>
      <c r="S150" s="56"/>
      <c r="T150" s="57"/>
      <c r="U150" s="6"/>
      <c r="V150" s="45"/>
      <c r="W150" s="46"/>
      <c r="X150" s="47"/>
      <c r="Y150" s="46"/>
      <c r="Z150" s="48"/>
      <c r="AA150" s="49"/>
      <c r="AB150" s="39"/>
      <c r="AC150" s="39"/>
      <c r="AD150" s="39"/>
      <c r="AE150" s="39"/>
      <c r="AF150" s="39"/>
      <c r="AG150" s="39"/>
    </row>
    <row r="151" spans="1:33" s="50" customFormat="1" ht="15" hidden="1" x14ac:dyDescent="0.2">
      <c r="A151" s="51" t="s">
        <v>182</v>
      </c>
      <c r="B151" s="51"/>
      <c r="C151" s="65" t="str">
        <f>IFERROR(INDEX('[1]Balanza Egresos'!A$1:C$65536,MATCH(A151,'[1]Balanza Egresos'!A$1:A$65536,0),2),"SIN CUENTA")</f>
        <v>SIN CUENTA</v>
      </c>
      <c r="D151" s="53" t="e">
        <f>IF($P151="A",SUMIFS(D152:D$181,$A152:$A$181,LEFT($A151,$Q151)&amp;"*",$P152:$P$181,"R"),SUMIFS('[1]Balanza Egresos'!$F$1:$F$65536,'[1]Balanza Egresos'!$A$1:$A$65536,$A151))</f>
        <v>#VALUE!</v>
      </c>
      <c r="E151" s="53" t="e">
        <f>IF($P151="A",SUMIFS(E152:E$181,$A152:$A$181,LEFT($A151,$Q151)&amp;"*",$P152:$P$181,"R"),((H151/[1]Parametros!$E$12)*12)+$I151)</f>
        <v>#VALUE!</v>
      </c>
      <c r="F151" s="37">
        <f>IF($P151="A",SUMIFS(F152:F$181,$A152:$A$181,LEFT($A151,$Q151)&amp;"*",$P152:$P$181,"R"),K151+L151+M151+N151+O151)</f>
        <v>0</v>
      </c>
      <c r="G151" s="58"/>
      <c r="H151" s="59" t="e">
        <f>IF($P151="A",SUMIFS(H152:H$181,$A152:$A$181,LEFT($A151,$Q151)&amp;"*",$P152:$P$181,"R"),SUMIFS('[1]Balanza Egresos'!$V$1:$V$65536,'[1]Balanza Egresos'!$A$1:$A$65536,$A151))</f>
        <v>#VALUE!</v>
      </c>
      <c r="I151" s="66"/>
      <c r="J151" s="39"/>
      <c r="K151" s="61">
        <f>IF($P151="A",SUMIFS(K152:K$181,$A152:$A$181,LEFT($A151,$Q151)&amp;"*",$P152:$P$181,"R"),0)</f>
        <v>0</v>
      </c>
      <c r="L151" s="61">
        <f>IF($P151="A",SUMIFS(L152:L$181,$A152:$A$181,LEFT($A151,$Q151)&amp;"*",$P152:$P$181,"R"),0)</f>
        <v>0</v>
      </c>
      <c r="M151" s="61">
        <f>IF($P151="A",SUMIFS(M152:M$181,$A152:$A$181,LEFT($A151,$Q151)&amp;"*",$P152:$P$181,"R"),0)</f>
        <v>0</v>
      </c>
      <c r="N151" s="61">
        <f>IF($P151="A",SUMIFS(N152:N$181,$A152:$A$181,LEFT($A151,$Q151)&amp;"*",$P152:$P$181,"R"),0)</f>
        <v>0</v>
      </c>
      <c r="O151" s="61">
        <f>IF($P151="A",SUMIFS(O152:O$181,$A152:$A$181,LEFT($A151,$Q151)&amp;"*",$P152:$P$181,"R"),0)</f>
        <v>0</v>
      </c>
      <c r="P151" s="41" t="str">
        <f t="shared" si="20"/>
        <v>R</v>
      </c>
      <c r="Q151" s="41">
        <f t="shared" si="18"/>
        <v>4</v>
      </c>
      <c r="R151" s="55" t="e">
        <f t="shared" si="19"/>
        <v>#VALUE!</v>
      </c>
      <c r="S151" s="56"/>
      <c r="T151" s="57"/>
      <c r="U151" s="6"/>
      <c r="V151" s="45"/>
      <c r="W151" s="46"/>
      <c r="X151" s="47"/>
      <c r="Y151" s="46"/>
      <c r="Z151" s="48"/>
      <c r="AA151" s="49"/>
      <c r="AB151" s="39"/>
      <c r="AC151" s="39"/>
      <c r="AD151" s="39"/>
      <c r="AE151" s="39"/>
      <c r="AF151" s="39"/>
      <c r="AG151" s="39"/>
    </row>
    <row r="152" spans="1:33" s="50" customFormat="1" ht="15" hidden="1" x14ac:dyDescent="0.2">
      <c r="A152" s="51" t="s">
        <v>183</v>
      </c>
      <c r="B152" s="51"/>
      <c r="C152" s="65" t="str">
        <f>IFERROR(INDEX('[1]Balanza Egresos'!A$1:C$65536,MATCH(A152,'[1]Balanza Egresos'!A$1:A$65536,0),2),"SIN CUENTA")</f>
        <v>SIN CUENTA</v>
      </c>
      <c r="D152" s="53" t="e">
        <f>IF($P152="A",SUMIFS(D153:D$181,$A153:$A$181,LEFT($A152,$Q152)&amp;"*",$P153:$P$181,"R"),SUMIFS('[1]Balanza Egresos'!$F$1:$F$65536,'[1]Balanza Egresos'!$A$1:$A$65536,$A152))</f>
        <v>#VALUE!</v>
      </c>
      <c r="E152" s="53" t="e">
        <f>IF($P152="A",SUMIFS(E153:E$181,$A153:$A$181,LEFT($A152,$Q152)&amp;"*",$P153:$P$181,"R"),((H152/[1]Parametros!$E$12)*12)+$I152)</f>
        <v>#VALUE!</v>
      </c>
      <c r="F152" s="37">
        <f>IF($P152="A",SUMIFS(F$181:F197,$A$181:$A197,LEFT($A152,$Q152)&amp;"*",$P$181:$P197,"R"),K152+L152+M152+N152)</f>
        <v>0</v>
      </c>
      <c r="G152" s="58"/>
      <c r="H152" s="59" t="e">
        <f>IF($P152="A",SUMIFS(H153:H$181,$A153:$A$181,LEFT($A152,$Q152)&amp;"*",$P153:$P$181,"R"),SUMIFS('[1]Balanza Egresos'!$V$1:$V$65536,'[1]Balanza Egresos'!$A$1:$A$65536,$A152))</f>
        <v>#VALUE!</v>
      </c>
      <c r="I152" s="66"/>
      <c r="J152" s="39"/>
      <c r="K152" s="61">
        <f>IF($P152="A",SUMIFS(K153:K$181,$A153:$A$181,LEFT($A152,$Q152)&amp;"*",$P153:$P$181,"R"),0)</f>
        <v>0</v>
      </c>
      <c r="L152" s="61">
        <f>IF($P152="A",SUMIFS(L153:L$181,$A153:$A$181,LEFT($A152,$Q152)&amp;"*",$P153:$P$181,"R"),0)</f>
        <v>0</v>
      </c>
      <c r="M152" s="61">
        <f>IF($P152="A",SUMIFS(M153:M$181,$A153:$A$181,LEFT($A152,$Q152)&amp;"*",$P153:$P$181,"R"),0)</f>
        <v>0</v>
      </c>
      <c r="N152" s="61">
        <f>IF($P152="A",SUMIFS(N153:N$181,$A153:$A$181,LEFT($A152,$Q152)&amp;"*",$P153:$P$181,"R"),0)</f>
        <v>0</v>
      </c>
      <c r="O152" s="61">
        <f>IF($P152="A",SUMIFS(O153:O$181,$A153:$A$181,LEFT($A152,$Q152)&amp;"*",$P153:$P$181,"R"),0)</f>
        <v>0</v>
      </c>
      <c r="P152" s="41" t="str">
        <f t="shared" si="20"/>
        <v>A</v>
      </c>
      <c r="Q152" s="41">
        <f t="shared" ref="Q152:Q181" si="21">IF(RIGHT(A152,4)="0000",1,IF(RIGHT(A152,3)="000",2,IF(RIGHT(A152,2)="00",3,4)))</f>
        <v>3</v>
      </c>
      <c r="R152" s="55" t="e">
        <f t="shared" si="19"/>
        <v>#VALUE!</v>
      </c>
      <c r="S152" s="56"/>
      <c r="T152" s="57"/>
      <c r="U152" s="6"/>
      <c r="V152" s="45"/>
      <c r="W152" s="46"/>
      <c r="X152" s="47"/>
      <c r="Y152" s="46"/>
      <c r="Z152" s="48"/>
      <c r="AA152" s="49"/>
      <c r="AB152" s="39"/>
      <c r="AC152" s="39"/>
      <c r="AD152" s="39"/>
      <c r="AE152" s="39"/>
      <c r="AF152" s="39"/>
      <c r="AG152" s="39"/>
    </row>
    <row r="153" spans="1:33" s="50" customFormat="1" ht="15" hidden="1" x14ac:dyDescent="0.2">
      <c r="A153" s="51" t="s">
        <v>184</v>
      </c>
      <c r="B153" s="51"/>
      <c r="C153" s="65" t="str">
        <f>IFERROR(INDEX('[1]Balanza Egresos'!A$1:C$65536,MATCH(A153,'[1]Balanza Egresos'!A$1:A$65536,0),2),"SIN CUENTA")</f>
        <v>SIN CUENTA</v>
      </c>
      <c r="D153" s="53" t="e">
        <f>IF($P153="A",SUMIFS(D154:D$181,$A154:$A$181,LEFT($A153,$Q153)&amp;"*",$P154:$P$181,"R"),SUMIFS('[1]Balanza Egresos'!$F$1:$F$65536,'[1]Balanza Egresos'!$A$1:$A$65536,$A153))</f>
        <v>#VALUE!</v>
      </c>
      <c r="E153" s="53" t="e">
        <f>IF($P153="A",SUMIFS(E154:E$181,$A154:$A$181,LEFT($A153,$Q153)&amp;"*",$P154:$P$181,"R"),((H153/[1]Parametros!$E$12)*12)+$I153)</f>
        <v>#VALUE!</v>
      </c>
      <c r="F153" s="37">
        <f>IF($P153="A",SUMIFS(F154:F$181,$A154:$A$181,LEFT($A153,$Q153)&amp;"*",$P154:$P$181,"R"),K153+L153+M153+N153+O153)</f>
        <v>0</v>
      </c>
      <c r="G153" s="58"/>
      <c r="H153" s="59" t="e">
        <f>IF($P153="A",SUMIFS(H154:H$181,$A154:$A$181,LEFT($A153,$Q153)&amp;"*",$P154:$P$181,"R"),SUMIFS('[1]Balanza Egresos'!$V$1:$V$65536,'[1]Balanza Egresos'!$A$1:$A$65536,$A153))</f>
        <v>#VALUE!</v>
      </c>
      <c r="I153" s="66"/>
      <c r="J153" s="39"/>
      <c r="K153" s="61">
        <f>IF($P153="A",SUMIFS(K154:K$181,$A154:$A$181,LEFT($A153,$Q153)&amp;"*",$P154:$P$181,"R"),0)</f>
        <v>0</v>
      </c>
      <c r="L153" s="61">
        <f>IF($P153="A",SUMIFS(L154:L$181,$A154:$A$181,LEFT($A153,$Q153)&amp;"*",$P154:$P$181,"R"),0)</f>
        <v>0</v>
      </c>
      <c r="M153" s="61">
        <f>IF($P153="A",SUMIFS(M154:M$181,$A154:$A$181,LEFT($A153,$Q153)&amp;"*",$P154:$P$181,"R"),0)</f>
        <v>0</v>
      </c>
      <c r="N153" s="61">
        <f>IF($P153="A",SUMIFS(N154:N$181,$A154:$A$181,LEFT($A153,$Q153)&amp;"*",$P154:$P$181,"R"),0)</f>
        <v>0</v>
      </c>
      <c r="O153" s="61">
        <f>IF($P153="A",SUMIFS(O154:O$181,$A154:$A$181,LEFT($A153,$Q153)&amp;"*",$P154:$P$181,"R"),0)</f>
        <v>0</v>
      </c>
      <c r="P153" s="41" t="str">
        <f t="shared" si="20"/>
        <v>R</v>
      </c>
      <c r="Q153" s="41">
        <f t="shared" si="21"/>
        <v>4</v>
      </c>
      <c r="R153" s="55" t="e">
        <f t="shared" si="19"/>
        <v>#VALUE!</v>
      </c>
      <c r="S153" s="56"/>
      <c r="T153" s="57"/>
      <c r="U153" s="6"/>
      <c r="V153" s="45"/>
      <c r="W153" s="46"/>
      <c r="X153" s="47"/>
      <c r="Y153" s="46"/>
      <c r="Z153" s="48"/>
      <c r="AA153" s="49"/>
      <c r="AB153" s="39"/>
      <c r="AC153" s="39"/>
      <c r="AD153" s="39"/>
      <c r="AE153" s="39"/>
      <c r="AF153" s="39"/>
      <c r="AG153" s="39"/>
    </row>
    <row r="154" spans="1:33" s="50" customFormat="1" ht="15" hidden="1" x14ac:dyDescent="0.2">
      <c r="A154" s="51" t="s">
        <v>185</v>
      </c>
      <c r="B154" s="51"/>
      <c r="C154" s="65" t="str">
        <f>IFERROR(INDEX('[1]Balanza Egresos'!A$1:C$65536,MATCH(A154,'[1]Balanza Egresos'!A$1:A$65536,0),2),"SIN CUENTA")</f>
        <v>SIN CUENTA</v>
      </c>
      <c r="D154" s="53" t="e">
        <f>IF($P154="A",SUMIFS(D155:D$181,$A155:$A$181,LEFT($A154,$Q154)&amp;"*",$P155:$P$181,"R"),SUMIFS('[1]Balanza Egresos'!$F$1:$F$65536,'[1]Balanza Egresos'!$A$1:$A$65536,$A154))</f>
        <v>#VALUE!</v>
      </c>
      <c r="E154" s="53" t="e">
        <f>IF($P154="A",SUMIFS(E155:E$181,$A155:$A$181,LEFT($A154,$Q154)&amp;"*",$P155:$P$181,"R"),((H154/[1]Parametros!$E$12)*12)+$I154)</f>
        <v>#VALUE!</v>
      </c>
      <c r="F154" s="37">
        <f>IF($P154="A",SUMIFS(F$181:F199,$A$181:$A199,LEFT($A154,$Q154)&amp;"*",$P$181:$P199,"R"),K154+L154+M154+N154)</f>
        <v>0</v>
      </c>
      <c r="G154" s="58"/>
      <c r="H154" s="59" t="e">
        <f>IF($P154="A",SUMIFS(H155:H$181,$A155:$A$181,LEFT($A154,$Q154)&amp;"*",$P155:$P$181,"R"),SUMIFS('[1]Balanza Egresos'!$V$1:$V$65536,'[1]Balanza Egresos'!$A$1:$A$65536,$A154))</f>
        <v>#VALUE!</v>
      </c>
      <c r="I154" s="66"/>
      <c r="J154" s="39"/>
      <c r="K154" s="61">
        <f>IF($P154="A",SUMIFS(K155:K$181,$A155:$A$181,LEFT($A154,$Q154)&amp;"*",$P155:$P$181,"R"),0)</f>
        <v>0</v>
      </c>
      <c r="L154" s="61">
        <f>IF($P154="A",SUMIFS(L155:L$181,$A155:$A$181,LEFT($A154,$Q154)&amp;"*",$P155:$P$181,"R"),0)</f>
        <v>0</v>
      </c>
      <c r="M154" s="61">
        <f>IF($P154="A",SUMIFS(M155:M$181,$A155:$A$181,LEFT($A154,$Q154)&amp;"*",$P155:$P$181,"R"),0)</f>
        <v>0</v>
      </c>
      <c r="N154" s="61">
        <f>IF($P154="A",SUMIFS(N155:N$181,$A155:$A$181,LEFT($A154,$Q154)&amp;"*",$P155:$P$181,"R"),0)</f>
        <v>0</v>
      </c>
      <c r="O154" s="61">
        <f>IF($P154="A",SUMIFS(O155:O$181,$A155:$A$181,LEFT($A154,$Q154)&amp;"*",$P155:$P$181,"R"),0)</f>
        <v>0</v>
      </c>
      <c r="P154" s="41" t="str">
        <f t="shared" si="20"/>
        <v>A</v>
      </c>
      <c r="Q154" s="41">
        <f t="shared" si="21"/>
        <v>3</v>
      </c>
      <c r="R154" s="55" t="e">
        <f t="shared" si="19"/>
        <v>#VALUE!</v>
      </c>
      <c r="S154" s="56"/>
      <c r="T154" s="57"/>
      <c r="U154" s="6"/>
      <c r="V154" s="45"/>
      <c r="W154" s="46"/>
      <c r="X154" s="47"/>
      <c r="Y154" s="46"/>
      <c r="Z154" s="48"/>
      <c r="AA154" s="49"/>
      <c r="AB154" s="39"/>
      <c r="AC154" s="39"/>
      <c r="AD154" s="39"/>
      <c r="AE154" s="39"/>
      <c r="AF154" s="39"/>
      <c r="AG154" s="39"/>
    </row>
    <row r="155" spans="1:33" s="50" customFormat="1" ht="15" hidden="1" x14ac:dyDescent="0.2">
      <c r="A155" s="51" t="s">
        <v>186</v>
      </c>
      <c r="B155" s="51"/>
      <c r="C155" s="65" t="str">
        <f>IFERROR(INDEX('[1]Balanza Egresos'!A$1:C$65536,MATCH(A155,'[1]Balanza Egresos'!A$1:A$65536,0),2),"SIN CUENTA")</f>
        <v>SIN CUENTA</v>
      </c>
      <c r="D155" s="53" t="e">
        <f>IF($P155="A",SUMIFS(D156:D$181,$A156:$A$181,LEFT($A155,$Q155)&amp;"*",$P156:$P$181,"R"),SUMIFS('[1]Balanza Egresos'!$F$1:$F$65536,'[1]Balanza Egresos'!$A$1:$A$65536,$A155))</f>
        <v>#VALUE!</v>
      </c>
      <c r="E155" s="53" t="e">
        <f>IF($P155="A",SUMIFS(E156:E$181,$A156:$A$181,LEFT($A155,$Q155)&amp;"*",$P156:$P$181,"R"),((H155/[1]Parametros!$E$12)*12)+$I155)</f>
        <v>#VALUE!</v>
      </c>
      <c r="F155" s="37">
        <f>IF($P155="A",SUMIFS(F156:F$181,$A156:$A$181,LEFT($A155,$Q155)&amp;"*",$P156:$P$181,"R"),K155+L155+M155+N155+O155)</f>
        <v>0</v>
      </c>
      <c r="G155" s="58"/>
      <c r="H155" s="59" t="e">
        <f>IF($P155="A",SUMIFS(H156:H$181,$A156:$A$181,LEFT($A155,$Q155)&amp;"*",$P156:$P$181,"R"),SUMIFS('[1]Balanza Egresos'!$V$1:$V$65536,'[1]Balanza Egresos'!$A$1:$A$65536,$A155))</f>
        <v>#VALUE!</v>
      </c>
      <c r="I155" s="66"/>
      <c r="J155" s="39"/>
      <c r="K155" s="61">
        <f>IF($P155="A",SUMIFS(K156:K$181,$A156:$A$181,LEFT($A155,$Q155)&amp;"*",$P156:$P$181,"R"),0)</f>
        <v>0</v>
      </c>
      <c r="L155" s="61">
        <f>IF($P155="A",SUMIFS(L156:L$181,$A156:$A$181,LEFT($A155,$Q155)&amp;"*",$P156:$P$181,"R"),0)</f>
        <v>0</v>
      </c>
      <c r="M155" s="61">
        <f>IF($P155="A",SUMIFS(M156:M$181,$A156:$A$181,LEFT($A155,$Q155)&amp;"*",$P156:$P$181,"R"),0)</f>
        <v>0</v>
      </c>
      <c r="N155" s="61">
        <f>IF($P155="A",SUMIFS(N156:N$181,$A156:$A$181,LEFT($A155,$Q155)&amp;"*",$P156:$P$181,"R"),0)</f>
        <v>0</v>
      </c>
      <c r="O155" s="61">
        <f>IF($P155="A",SUMIFS(O156:O$181,$A156:$A$181,LEFT($A155,$Q155)&amp;"*",$P156:$P$181,"R"),0)</f>
        <v>0</v>
      </c>
      <c r="P155" s="41" t="str">
        <f t="shared" si="20"/>
        <v>R</v>
      </c>
      <c r="Q155" s="41">
        <f t="shared" si="21"/>
        <v>4</v>
      </c>
      <c r="R155" s="55" t="e">
        <f t="shared" si="19"/>
        <v>#VALUE!</v>
      </c>
      <c r="S155" s="56"/>
      <c r="T155" s="57"/>
      <c r="U155" s="6"/>
      <c r="V155" s="45"/>
      <c r="W155" s="46"/>
      <c r="X155" s="47"/>
      <c r="Y155" s="46"/>
      <c r="Z155" s="48"/>
      <c r="AA155" s="49"/>
      <c r="AB155" s="39"/>
      <c r="AC155" s="39"/>
      <c r="AD155" s="39"/>
      <c r="AE155" s="39"/>
      <c r="AF155" s="39"/>
      <c r="AG155" s="39"/>
    </row>
    <row r="156" spans="1:33" s="50" customFormat="1" ht="15" x14ac:dyDescent="0.2">
      <c r="A156" s="51" t="s">
        <v>187</v>
      </c>
      <c r="B156" s="51"/>
      <c r="C156" s="65" t="str">
        <f>IFERROR(INDEX('[1]Balanza Egresos'!A$1:C$65536,MATCH(A156,'[1]Balanza Egresos'!A$1:A$65536,0),2),"SIN CUENTA")</f>
        <v>OBRA PÚBLICA EN BIENES PROPIOS</v>
      </c>
      <c r="D156" s="53" t="e">
        <f>IF($P156="A",SUMIFS(D157:D$181,$A157:$A$181,LEFT($A156,$Q156)&amp;"*",$P157:$P$181,"R"),SUMIFS('[1]Balanza Egresos'!$F$1:$F$65536,'[1]Balanza Egresos'!$A$1:$A$65536,$A156))</f>
        <v>#VALUE!</v>
      </c>
      <c r="E156" s="53" t="e">
        <f>IF($P156="A",SUMIFS(E157:E$181,$A157:$A$181,LEFT($A156,$Q156)&amp;"*",$P157:$P$181,"R"),((H156/[1]Parametros!$E$12)*12)+$I156)</f>
        <v>#VALUE!</v>
      </c>
      <c r="F156" s="37">
        <f>F160+F168</f>
        <v>11456876.59</v>
      </c>
      <c r="G156" s="62"/>
      <c r="H156" s="59" t="e">
        <f>IF($P156="A",SUMIFS(H157:H$181,$A157:$A$181,LEFT($A156,$Q156)&amp;"*",$P157:$P$181,"R"),SUMIFS('[1]Balanza Egresos'!$V$1:$V$65536,'[1]Balanza Egresos'!$A$1:$A$65536,$A156))</f>
        <v>#VALUE!</v>
      </c>
      <c r="I156" s="66"/>
      <c r="J156" s="39"/>
      <c r="K156" s="61">
        <f>IF($P156="A",SUMIFS(K157:K$181,$A157:$A$181,LEFT($A156,$Q156)&amp;"*",$P157:$P$181,"R"),0)</f>
        <v>0</v>
      </c>
      <c r="L156" s="61">
        <f>IF($P156="A",SUMIFS(L157:L$181,$A157:$A$181,LEFT($A156,$Q156)&amp;"*",$P157:$P$181,"R"),0)</f>
        <v>0</v>
      </c>
      <c r="M156" s="61">
        <f>IF($P156="A",SUMIFS(M157:M$181,$A157:$A$181,LEFT($A156,$Q156)&amp;"*",$P157:$P$181,"R"),0)</f>
        <v>7956876.5899999999</v>
      </c>
      <c r="N156" s="61">
        <f>IF($P156="A",SUMIFS(N157:N$181,$A157:$A$181,LEFT($A156,$Q156)&amp;"*",$P157:$P$181,"R"),0)</f>
        <v>3500000</v>
      </c>
      <c r="O156" s="61">
        <f>IF($P156="A",SUMIFS(O157:O$181,$A157:$A$181,LEFT($A156,$Q156)&amp;"*",$P157:$P$181,"R"),0)</f>
        <v>0</v>
      </c>
      <c r="P156" s="41" t="str">
        <f t="shared" si="20"/>
        <v>A</v>
      </c>
      <c r="Q156" s="41">
        <f t="shared" si="21"/>
        <v>2</v>
      </c>
      <c r="R156" s="55" t="e">
        <f t="shared" si="19"/>
        <v>#VALUE!</v>
      </c>
      <c r="S156" s="56"/>
      <c r="T156" s="57"/>
      <c r="U156" s="6"/>
      <c r="V156" s="45"/>
      <c r="W156" s="46"/>
      <c r="X156" s="47"/>
      <c r="Y156" s="46"/>
      <c r="Z156" s="48"/>
      <c r="AA156" s="49"/>
      <c r="AB156" s="39"/>
      <c r="AC156" s="39"/>
      <c r="AD156" s="39"/>
      <c r="AE156" s="39"/>
      <c r="AF156" s="39"/>
      <c r="AG156" s="39"/>
    </row>
    <row r="157" spans="1:33" s="50" customFormat="1" ht="15" hidden="1" x14ac:dyDescent="0.2">
      <c r="A157" s="51" t="s">
        <v>188</v>
      </c>
      <c r="B157" s="51"/>
      <c r="C157" s="65" t="str">
        <f>IFERROR(INDEX('[1]Balanza Egresos'!A$1:C$65536,MATCH(A157,'[1]Balanza Egresos'!A$1:A$65536,0),2),"SIN CUENTA")</f>
        <v>SIN CUENTA</v>
      </c>
      <c r="D157" s="53" t="e">
        <f>IF($P157="A",SUMIFS(D158:D$181,$A158:$A$181,LEFT($A157,$Q157)&amp;"*",$P158:$P$181,"R"),SUMIFS('[1]Balanza Egresos'!$F$1:$F$65536,'[1]Balanza Egresos'!$A$1:$A$65536,$A157))</f>
        <v>#VALUE!</v>
      </c>
      <c r="E157" s="53" t="e">
        <f>IF($P157="A",SUMIFS(E158:E$181,$A158:$A$181,LEFT($A157,$Q157)&amp;"*",$P158:$P$181,"R"),((H157/[1]Parametros!$E$12)*12)+$I157)</f>
        <v>#VALUE!</v>
      </c>
      <c r="F157" s="37">
        <f>IF($P157="A",SUMIFS(F$181:F202,$A$181:$A202,LEFT($A157,$Q157)&amp;"*",$P$181:$P202,"R"),K157+L157+M157+N157)</f>
        <v>0</v>
      </c>
      <c r="G157" s="58"/>
      <c r="H157" s="59" t="e">
        <f>IF($P157="A",SUMIFS(H158:H$181,$A158:$A$181,LEFT($A157,$Q157)&amp;"*",$P158:$P$181,"R"),SUMIFS('[1]Balanza Egresos'!$V$1:$V$65536,'[1]Balanza Egresos'!$A$1:$A$65536,$A157))</f>
        <v>#VALUE!</v>
      </c>
      <c r="I157" s="66"/>
      <c r="J157" s="39"/>
      <c r="K157" s="61">
        <f>IF($P157="A",SUMIFS(K158:K$181,$A158:$A$181,LEFT($A157,$Q157)&amp;"*",$P158:$P$181,"R"),0)</f>
        <v>0</v>
      </c>
      <c r="L157" s="61">
        <f>IF($P157="A",SUMIFS(L158:L$181,$A158:$A$181,LEFT($A157,$Q157)&amp;"*",$P158:$P$181,"R"),0)</f>
        <v>0</v>
      </c>
      <c r="M157" s="61">
        <f>IF($P157="A",SUMIFS(M158:M$181,$A158:$A$181,LEFT($A157,$Q157)&amp;"*",$P158:$P$181,"R"),0)</f>
        <v>0</v>
      </c>
      <c r="N157" s="61">
        <f>IF($P157="A",SUMIFS(N158:N$181,$A158:$A$181,LEFT($A157,$Q157)&amp;"*",$P158:$P$181,"R"),0)</f>
        <v>0</v>
      </c>
      <c r="O157" s="61">
        <f>IF($P157="A",SUMIFS(O158:O$181,$A158:$A$181,LEFT($A157,$Q157)&amp;"*",$P158:$P$181,"R"),0)</f>
        <v>0</v>
      </c>
      <c r="P157" s="41" t="str">
        <f t="shared" si="20"/>
        <v>A</v>
      </c>
      <c r="Q157" s="41">
        <f t="shared" si="21"/>
        <v>3</v>
      </c>
      <c r="R157" s="55" t="e">
        <f t="shared" si="19"/>
        <v>#VALUE!</v>
      </c>
      <c r="S157" s="56"/>
      <c r="T157" s="57"/>
      <c r="U157" s="6"/>
      <c r="V157" s="45"/>
      <c r="W157" s="46"/>
      <c r="X157" s="47"/>
      <c r="Y157" s="46"/>
      <c r="Z157" s="48"/>
      <c r="AA157" s="49"/>
      <c r="AB157" s="39"/>
      <c r="AC157" s="39"/>
      <c r="AD157" s="39"/>
      <c r="AE157" s="39"/>
      <c r="AF157" s="39"/>
      <c r="AG157" s="39"/>
    </row>
    <row r="158" spans="1:33" s="50" customFormat="1" ht="15" hidden="1" x14ac:dyDescent="0.2">
      <c r="A158" s="51" t="s">
        <v>189</v>
      </c>
      <c r="B158" s="51"/>
      <c r="C158" s="65" t="str">
        <f>IFERROR(INDEX('[1]Balanza Egresos'!A$1:C$65536,MATCH(A158,'[1]Balanza Egresos'!A$1:A$65536,0),2),"SIN CUENTA")</f>
        <v>SIN CUENTA</v>
      </c>
      <c r="D158" s="53" t="e">
        <f>IF($P158="A",SUMIFS(D159:D$181,$A159:$A$181,LEFT($A158,$Q158)&amp;"*",$P159:$P$181,"R"),SUMIFS('[1]Balanza Egresos'!$F$1:$F$65536,'[1]Balanza Egresos'!$A$1:$A$65536,$A158))</f>
        <v>#VALUE!</v>
      </c>
      <c r="E158" s="53" t="e">
        <f>IF($P158="A",SUMIFS(E159:E$181,$A159:$A$181,LEFT($A158,$Q158)&amp;"*",$P159:$P$181,"R"),((H158/[1]Parametros!$E$12)*12)+$I158)</f>
        <v>#VALUE!</v>
      </c>
      <c r="F158" s="37">
        <f>IF($P158="A",SUMIFS(F159:F$181,$A159:$A$181,LEFT($A158,$Q158)&amp;"*",$P159:$P$181,"R"),K158+L158+M158+N158+O158)</f>
        <v>0</v>
      </c>
      <c r="G158" s="58"/>
      <c r="H158" s="59" t="e">
        <f>IF($P158="A",SUMIFS(H159:H$181,$A159:$A$181,LEFT($A158,$Q158)&amp;"*",$P159:$P$181,"R"),SUMIFS('[1]Balanza Egresos'!$V$1:$V$65536,'[1]Balanza Egresos'!$A$1:$A$65536,$A158))</f>
        <v>#VALUE!</v>
      </c>
      <c r="I158" s="66"/>
      <c r="J158" s="39"/>
      <c r="K158" s="61">
        <f>IF($P158="A",SUMIFS(K159:K$181,$A159:$A$181,LEFT($A158,$Q158)&amp;"*",$P159:$P$181,"R"),0)</f>
        <v>0</v>
      </c>
      <c r="L158" s="61">
        <f>IF($P158="A",SUMIFS(L159:L$181,$A159:$A$181,LEFT($A158,$Q158)&amp;"*",$P159:$P$181,"R"),0)</f>
        <v>0</v>
      </c>
      <c r="M158" s="61">
        <f>IF($P158="A",SUMIFS(M159:M$181,$A159:$A$181,LEFT($A158,$Q158)&amp;"*",$P159:$P$181,"R"),0)</f>
        <v>0</v>
      </c>
      <c r="N158" s="61">
        <f>IF($P158="A",SUMIFS(N159:N$181,$A159:$A$181,LEFT($A158,$Q158)&amp;"*",$P159:$P$181,"R"),0)</f>
        <v>0</v>
      </c>
      <c r="O158" s="61">
        <f>IF($P158="A",SUMIFS(O159:O$181,$A159:$A$181,LEFT($A158,$Q158)&amp;"*",$P159:$P$181,"R"),0)</f>
        <v>0</v>
      </c>
      <c r="P158" s="41" t="str">
        <f t="shared" si="20"/>
        <v>R</v>
      </c>
      <c r="Q158" s="41">
        <f t="shared" si="21"/>
        <v>4</v>
      </c>
      <c r="R158" s="55" t="e">
        <f t="shared" si="19"/>
        <v>#VALUE!</v>
      </c>
      <c r="S158" s="56"/>
      <c r="T158" s="57"/>
      <c r="U158" s="6"/>
      <c r="V158" s="45"/>
      <c r="W158" s="46"/>
      <c r="X158" s="47"/>
      <c r="Y158" s="46"/>
      <c r="Z158" s="48"/>
      <c r="AA158" s="49"/>
      <c r="AB158" s="39"/>
      <c r="AC158" s="39"/>
      <c r="AD158" s="39"/>
      <c r="AE158" s="39"/>
      <c r="AF158" s="39"/>
      <c r="AG158" s="39"/>
    </row>
    <row r="159" spans="1:33" s="50" customFormat="1" ht="15" x14ac:dyDescent="0.2">
      <c r="A159" s="51" t="s">
        <v>190</v>
      </c>
      <c r="B159" s="51"/>
      <c r="C159" s="65" t="str">
        <f>IFERROR(INDEX('[1]Balanza Egresos'!A$1:C$65536,MATCH(A159,'[1]Balanza Egresos'!A$1:A$65536,0),2),"SIN CUENTA")</f>
        <v xml:space="preserve">  Edificación no habitacional</v>
      </c>
      <c r="D159" s="53" t="e">
        <f>IF($P159="A",SUMIFS(D160:D$181,$A160:$A$181,LEFT($A159,$Q159)&amp;"*",$P160:$P$181,"R"),SUMIFS('[1]Balanza Egresos'!$F$1:$F$65536,'[1]Balanza Egresos'!$A$1:$A$65536,$A159))</f>
        <v>#VALUE!</v>
      </c>
      <c r="E159" s="53" t="e">
        <f>IF($P159="A",SUMIFS(E160:E$181,$A160:$A$181,LEFT($A159,$Q159)&amp;"*",$P160:$P$181,"R"),((H159/[1]Parametros!$E$12)*12)+$I159)</f>
        <v>#VALUE!</v>
      </c>
      <c r="F159" s="37">
        <f>IF($P159="A",SUMIFS(F$181:F204,$A$181:$A204,LEFT($A159,$Q159)&amp;"*",$P$181:$P204,"R"),K159+L159+M159+N159)+F160</f>
        <v>0</v>
      </c>
      <c r="G159" s="62"/>
      <c r="H159" s="59" t="e">
        <f>IF($P159="A",SUMIFS(H160:H$181,$A160:$A$181,LEFT($A159,$Q159)&amp;"*",$P160:$P$181,"R"),SUMIFS('[1]Balanza Egresos'!$V$1:$V$65536,'[1]Balanza Egresos'!$A$1:$A$65536,$A159))</f>
        <v>#VALUE!</v>
      </c>
      <c r="I159" s="66"/>
      <c r="J159" s="39"/>
      <c r="K159" s="61">
        <f>IF($P159="A",SUMIFS(K160:K$181,$A160:$A$181,LEFT($A159,$Q159)&amp;"*",$P160:$P$181,"R"),0)</f>
        <v>0</v>
      </c>
      <c r="L159" s="61">
        <f>IF($P159="A",SUMIFS(L160:L$181,$A160:$A$181,LEFT($A159,$Q159)&amp;"*",$P160:$P$181,"R"),0)</f>
        <v>0</v>
      </c>
      <c r="M159" s="61">
        <f>IF($P159="A",SUMIFS(M160:M$181,$A160:$A$181,LEFT($A159,$Q159)&amp;"*",$P160:$P$181,"R"),0)</f>
        <v>0</v>
      </c>
      <c r="N159" s="61">
        <f>IF($P159="A",SUMIFS(N160:N$181,$A160:$A$181,LEFT($A159,$Q159)&amp;"*",$P160:$P$181,"R"),0)</f>
        <v>0</v>
      </c>
      <c r="O159" s="61">
        <f>IF($P159="A",SUMIFS(O160:O$181,$A160:$A$181,LEFT($A159,$Q159)&amp;"*",$P160:$P$181,"R"),0)</f>
        <v>0</v>
      </c>
      <c r="P159" s="41" t="str">
        <f t="shared" si="20"/>
        <v>A</v>
      </c>
      <c r="Q159" s="41">
        <f t="shared" si="21"/>
        <v>3</v>
      </c>
      <c r="R159" s="55" t="e">
        <f t="shared" si="19"/>
        <v>#VALUE!</v>
      </c>
      <c r="S159" s="56"/>
      <c r="T159" s="57"/>
      <c r="U159" s="6"/>
      <c r="V159" s="45"/>
      <c r="W159" s="46"/>
      <c r="X159" s="47"/>
      <c r="Y159" s="46"/>
      <c r="Z159" s="48"/>
      <c r="AA159" s="49"/>
      <c r="AB159" s="39"/>
      <c r="AC159" s="39"/>
      <c r="AD159" s="39"/>
      <c r="AE159" s="39"/>
      <c r="AF159" s="39"/>
      <c r="AG159" s="39"/>
    </row>
    <row r="160" spans="1:33" s="50" customFormat="1" ht="15" x14ac:dyDescent="0.2">
      <c r="A160" s="51" t="s">
        <v>191</v>
      </c>
      <c r="B160" s="51"/>
      <c r="C160" s="65" t="str">
        <f>IFERROR(INDEX('[1]Balanza Egresos'!A$1:C$65536,MATCH(A160,'[1]Balanza Egresos'!A$1:A$65536,0),2),"SIN CUENTA")</f>
        <v xml:space="preserve">  Edificación no habitacional</v>
      </c>
      <c r="D160" s="53" t="e">
        <f>IF($P160="A",SUMIFS(D161:D$181,$A161:$A$181,LEFT($A160,$Q160)&amp;"*",$P161:$P$181,"R"),SUMIFS('[1]Balanza Egresos'!$F$1:$F$65536,'[1]Balanza Egresos'!$A$1:$A$65536,$A160))</f>
        <v>#VALUE!</v>
      </c>
      <c r="E160" s="53" t="e">
        <f>IF($P160="A",SUMIFS(E161:E$181,$A161:$A$181,LEFT($A160,$Q160)&amp;"*",$P161:$P$181,"R"),((H160/[1]Parametros!$E$12)*12)+$I160)</f>
        <v>#VALUE!</v>
      </c>
      <c r="F160" s="37">
        <f>IF($P160="A",SUMIFS(F161:F$181,$A161:$A$181,LEFT($A160,$Q160)&amp;"*",$P161:$P$181,"R"),K160+L160+M160+N160+O160)</f>
        <v>0</v>
      </c>
      <c r="G160" s="62"/>
      <c r="H160" s="59" t="e">
        <f>IF($P160="A",SUMIFS(H161:H$181,$A161:$A$181,LEFT($A160,$Q160)&amp;"*",$P161:$P$181,"R"),SUMIFS('[1]Balanza Egresos'!$V$1:$V$65536,'[1]Balanza Egresos'!$A$1:$A$65536,$A160))</f>
        <v>#VALUE!</v>
      </c>
      <c r="I160" s="66" t="e">
        <f>D160</f>
        <v>#VALUE!</v>
      </c>
      <c r="J160" s="39"/>
      <c r="K160" s="61">
        <f>IF($P160="A",SUMIFS(K161:K$181,$A161:$A$181,LEFT($A160,$Q160)&amp;"*",$P161:$P$181,"R"),0)</f>
        <v>0</v>
      </c>
      <c r="L160" s="61">
        <f>IF($P160="A",SUMIFS(L161:L$181,$A161:$A$181,LEFT($A160,$Q160)&amp;"*",$P161:$P$181,"R"),0)</f>
        <v>0</v>
      </c>
      <c r="M160" s="61">
        <f>IF($P160="A",SUMIFS(M161:M$181,$A161:$A$181,LEFT($A160,$Q160)&amp;"*",$P161:$P$181,"R"),0)</f>
        <v>0</v>
      </c>
      <c r="N160" s="61">
        <v>0</v>
      </c>
      <c r="O160" s="61">
        <f>IF($P160="A",SUMIFS(O161:O$181,$A161:$A$181,LEFT($A160,$Q160)&amp;"*",$P161:$P$181,"R"),0)</f>
        <v>0</v>
      </c>
      <c r="P160" s="41" t="str">
        <f t="shared" si="20"/>
        <v>R</v>
      </c>
      <c r="Q160" s="41">
        <f t="shared" si="21"/>
        <v>4</v>
      </c>
      <c r="R160" s="55" t="e">
        <f t="shared" si="19"/>
        <v>#VALUE!</v>
      </c>
      <c r="S160" s="56"/>
      <c r="T160" s="57"/>
      <c r="U160" s="6"/>
      <c r="V160" s="45"/>
      <c r="W160" s="46"/>
      <c r="X160" s="47"/>
      <c r="Y160" s="46"/>
      <c r="Z160" s="48"/>
      <c r="AA160" s="49"/>
      <c r="AB160" s="39"/>
      <c r="AC160" s="39"/>
      <c r="AD160" s="39"/>
      <c r="AE160" s="39"/>
      <c r="AF160" s="39"/>
      <c r="AG160" s="39"/>
    </row>
    <row r="161" spans="1:33" s="50" customFormat="1" ht="15" hidden="1" x14ac:dyDescent="0.2">
      <c r="A161" s="51" t="s">
        <v>192</v>
      </c>
      <c r="B161" s="51"/>
      <c r="C161" s="65" t="str">
        <f>IFERROR(INDEX('[1]Balanza Egresos'!A$1:C$65536,MATCH(A161,'[1]Balanza Egresos'!A$1:A$65536,0),2),"SIN CUENTA")</f>
        <v>SIN CUENTA</v>
      </c>
      <c r="D161" s="53" t="e">
        <f>IF($P161="A",SUMIFS(D162:D$181,$A162:$A$181,LEFT($A161,$Q161)&amp;"*",$P162:$P$181,"R"),SUMIFS('[1]Balanza Egresos'!$F$1:$F$65536,'[1]Balanza Egresos'!$A$1:$A$65536,$A161))</f>
        <v>#VALUE!</v>
      </c>
      <c r="E161" s="53" t="e">
        <f>IF($P161="A",SUMIFS(E162:E$181,$A162:$A$181,LEFT($A161,$Q161)&amp;"*",$P162:$P$181,"R"),((H161/[1]Parametros!$E$12)*12)+$I161)</f>
        <v>#VALUE!</v>
      </c>
      <c r="F161" s="37">
        <f>IF($P161="A",SUMIFS(F$181:F206,$A$181:$A206,LEFT($A161,$Q161)&amp;"*",$P$181:$P206,"R"),K161+L161+M161+N161)</f>
        <v>0</v>
      </c>
      <c r="G161" s="58"/>
      <c r="H161" s="59" t="e">
        <f>IF($P161="A",SUMIFS(H162:H$181,$A162:$A$181,LEFT($A161,$Q161)&amp;"*",$P162:$P$181,"R"),SUMIFS('[1]Balanza Egresos'!$V$1:$V$65536,'[1]Balanza Egresos'!$A$1:$A$65536,$A161))</f>
        <v>#VALUE!</v>
      </c>
      <c r="I161" s="66"/>
      <c r="J161" s="39"/>
      <c r="K161" s="61">
        <f>IF($P161="A",SUMIFS(K162:K$181,$A162:$A$181,LEFT($A161,$Q161)&amp;"*",$P162:$P$181,"R"),0)</f>
        <v>0</v>
      </c>
      <c r="L161" s="61">
        <f>IF($P161="A",SUMIFS(L162:L$181,$A162:$A$181,LEFT($A161,$Q161)&amp;"*",$P162:$P$181,"R"),0)</f>
        <v>0</v>
      </c>
      <c r="M161" s="61">
        <f>IF($P161="A",SUMIFS(M162:M$181,$A162:$A$181,LEFT($A161,$Q161)&amp;"*",$P162:$P$181,"R"),0)</f>
        <v>0</v>
      </c>
      <c r="N161" s="61">
        <f>IF($P161="A",SUMIFS(N162:N$181,$A162:$A$181,LEFT($A161,$Q161)&amp;"*",$P162:$P$181,"R"),0)</f>
        <v>0</v>
      </c>
      <c r="O161" s="61">
        <f>IF($P161="A",SUMIFS(O162:O$181,$A162:$A$181,LEFT($A161,$Q161)&amp;"*",$P162:$P$181,"R"),0)</f>
        <v>0</v>
      </c>
      <c r="P161" s="41" t="str">
        <f t="shared" si="20"/>
        <v>A</v>
      </c>
      <c r="Q161" s="41">
        <f t="shared" si="21"/>
        <v>3</v>
      </c>
      <c r="R161" s="55" t="e">
        <f t="shared" si="19"/>
        <v>#VALUE!</v>
      </c>
      <c r="S161" s="56"/>
      <c r="T161" s="57"/>
      <c r="U161" s="6"/>
      <c r="V161" s="45"/>
      <c r="W161" s="46"/>
      <c r="X161" s="47"/>
      <c r="Y161" s="46"/>
      <c r="Z161" s="48"/>
      <c r="AA161" s="49"/>
      <c r="AB161" s="39"/>
      <c r="AC161" s="39"/>
      <c r="AD161" s="39"/>
      <c r="AE161" s="39"/>
      <c r="AF161" s="39"/>
      <c r="AG161" s="39"/>
    </row>
    <row r="162" spans="1:33" s="50" customFormat="1" ht="15" hidden="1" x14ac:dyDescent="0.2">
      <c r="A162" s="51" t="s">
        <v>193</v>
      </c>
      <c r="B162" s="51"/>
      <c r="C162" s="65" t="str">
        <f>IFERROR(INDEX('[1]Balanza Egresos'!A$1:C$65536,MATCH(A162,'[1]Balanza Egresos'!A$1:A$65536,0),2),"SIN CUENTA")</f>
        <v>SIN CUENTA</v>
      </c>
      <c r="D162" s="53" t="e">
        <f>IF($P162="A",SUMIFS(D163:D$181,$A163:$A$181,LEFT($A162,$Q162)&amp;"*",$P163:$P$181,"R"),SUMIFS('[1]Balanza Egresos'!$F$1:$F$65536,'[1]Balanza Egresos'!$A$1:$A$65536,$A162))</f>
        <v>#VALUE!</v>
      </c>
      <c r="E162" s="53" t="e">
        <f>IF($P162="A",SUMIFS(E163:E$181,$A163:$A$181,LEFT($A162,$Q162)&amp;"*",$P163:$P$181,"R"),((H162/[1]Parametros!$E$12)*12)+$I162)</f>
        <v>#VALUE!</v>
      </c>
      <c r="F162" s="37">
        <f>IF($P162="A",SUMIFS(F163:F$181,$A163:$A$181,LEFT($A162,$Q162)&amp;"*",$P163:$P$181,"R"),K162+L162+M162+N162+O162)</f>
        <v>0</v>
      </c>
      <c r="G162" s="58"/>
      <c r="H162" s="59" t="e">
        <f>IF($P162="A",SUMIFS(H163:H$181,$A163:$A$181,LEFT($A162,$Q162)&amp;"*",$P163:$P$181,"R"),SUMIFS('[1]Balanza Egresos'!$V$1:$V$65536,'[1]Balanza Egresos'!$A$1:$A$65536,$A162))</f>
        <v>#VALUE!</v>
      </c>
      <c r="I162" s="66"/>
      <c r="J162" s="39"/>
      <c r="K162" s="61">
        <f>IF($P162="A",SUMIFS(K163:K$181,$A163:$A$181,LEFT($A162,$Q162)&amp;"*",$P163:$P$181,"R"),0)</f>
        <v>0</v>
      </c>
      <c r="L162" s="61">
        <f>IF($P162="A",SUMIFS(L163:L$181,$A163:$A$181,LEFT($A162,$Q162)&amp;"*",$P163:$P$181,"R"),0)</f>
        <v>0</v>
      </c>
      <c r="M162" s="61">
        <f>IF($P162="A",SUMIFS(M163:M$181,$A163:$A$181,LEFT($A162,$Q162)&amp;"*",$P163:$P$181,"R"),0)</f>
        <v>0</v>
      </c>
      <c r="N162" s="61">
        <f>IF($P162="A",SUMIFS(N163:N$181,$A163:$A$181,LEFT($A162,$Q162)&amp;"*",$P163:$P$181,"R"),0)</f>
        <v>0</v>
      </c>
      <c r="O162" s="61">
        <f>IF($P162="A",SUMIFS(O163:O$181,$A163:$A$181,LEFT($A162,$Q162)&amp;"*",$P163:$P$181,"R"),0)</f>
        <v>0</v>
      </c>
      <c r="P162" s="41" t="str">
        <f t="shared" si="20"/>
        <v>R</v>
      </c>
      <c r="Q162" s="41">
        <f t="shared" si="21"/>
        <v>4</v>
      </c>
      <c r="R162" s="55" t="e">
        <f t="shared" si="19"/>
        <v>#VALUE!</v>
      </c>
      <c r="S162" s="56"/>
      <c r="T162" s="57"/>
      <c r="U162" s="6"/>
      <c r="V162" s="45"/>
      <c r="W162" s="46"/>
      <c r="X162" s="47"/>
      <c r="Y162" s="46"/>
      <c r="Z162" s="48"/>
      <c r="AA162" s="49"/>
      <c r="AB162" s="39"/>
      <c r="AC162" s="39"/>
      <c r="AD162" s="39"/>
      <c r="AE162" s="39"/>
      <c r="AF162" s="39"/>
      <c r="AG162" s="39"/>
    </row>
    <row r="163" spans="1:33" s="50" customFormat="1" ht="15" hidden="1" x14ac:dyDescent="0.2">
      <c r="A163" s="51" t="s">
        <v>194</v>
      </c>
      <c r="B163" s="51"/>
      <c r="C163" s="65" t="str">
        <f>IFERROR(INDEX('[1]Balanza Egresos'!A$1:C$65536,MATCH(A163,'[1]Balanza Egresos'!A$1:A$65536,0),2),"SIN CUENTA")</f>
        <v>SIN CUENTA</v>
      </c>
      <c r="D163" s="53" t="e">
        <f>IF($P163="A",SUMIFS(D164:D$181,$A164:$A$181,LEFT($A163,$Q163)&amp;"*",$P164:$P$181,"R"),SUMIFS('[1]Balanza Egresos'!$F$1:$F$65536,'[1]Balanza Egresos'!$A$1:$A$65536,$A163))</f>
        <v>#VALUE!</v>
      </c>
      <c r="E163" s="53" t="e">
        <f>IF($P163="A",SUMIFS(E164:E$181,$A164:$A$181,LEFT($A163,$Q163)&amp;"*",$P164:$P$181,"R"),((H163/[1]Parametros!$E$12)*12)+$I163)</f>
        <v>#VALUE!</v>
      </c>
      <c r="F163" s="37">
        <f>IF($P163="A",SUMIFS(F164:F$181,$A164:$A$181,LEFT($A163,$Q163)&amp;"*",$P164:$P$181,"R"),K163+L163+M163+N163+O163)</f>
        <v>0</v>
      </c>
      <c r="G163" s="58"/>
      <c r="H163" s="59" t="e">
        <f>IF($P163="A",SUMIFS(H164:H$181,$A164:$A$181,LEFT($A163,$Q163)&amp;"*",$P164:$P$181,"R"),SUMIFS('[1]Balanza Egresos'!$V$1:$V$65536,'[1]Balanza Egresos'!$A$1:$A$65536,$A163))</f>
        <v>#VALUE!</v>
      </c>
      <c r="I163" s="66"/>
      <c r="J163" s="39"/>
      <c r="K163" s="61">
        <f>IF($P163="A",SUMIFS(K164:K$181,$A164:$A$181,LEFT($A163,$Q163)&amp;"*",$P164:$P$181,"R"),0)</f>
        <v>0</v>
      </c>
      <c r="L163" s="61">
        <f>IF($P163="A",SUMIFS(L164:L$181,$A164:$A$181,LEFT($A163,$Q163)&amp;"*",$P164:$P$181,"R"),0)</f>
        <v>0</v>
      </c>
      <c r="M163" s="61">
        <f>IF($P163="A",SUMIFS(M164:M$181,$A164:$A$181,LEFT($A163,$Q163)&amp;"*",$P164:$P$181,"R"),0)</f>
        <v>0</v>
      </c>
      <c r="N163" s="61">
        <f>IF($P163="A",SUMIFS(N164:N$181,$A164:$A$181,LEFT($A163,$Q163)&amp;"*",$P164:$P$181,"R"),0)</f>
        <v>0</v>
      </c>
      <c r="O163" s="61">
        <f>IF($P163="A",SUMIFS(O164:O$181,$A164:$A$181,LEFT($A163,$Q163)&amp;"*",$P164:$P$181,"R"),0)</f>
        <v>0</v>
      </c>
      <c r="P163" s="41" t="str">
        <f>IF(RIGHT(A163,2)="00","A","R")</f>
        <v>R</v>
      </c>
      <c r="Q163" s="41">
        <f>IF(RIGHT(A163,4)="0000",1,IF(RIGHT(A163,3)="000",2,IF(RIGHT(A163,2)="00",3,4)))</f>
        <v>4</v>
      </c>
      <c r="R163" s="55" t="e">
        <f t="shared" si="19"/>
        <v>#VALUE!</v>
      </c>
      <c r="S163" s="56"/>
      <c r="T163" s="57"/>
      <c r="U163" s="6"/>
      <c r="V163" s="45"/>
      <c r="W163" s="46"/>
      <c r="X163" s="47"/>
      <c r="Y163" s="46"/>
      <c r="Z163" s="48"/>
      <c r="AA163" s="49"/>
      <c r="AB163" s="39"/>
      <c r="AC163" s="39"/>
      <c r="AD163" s="39"/>
      <c r="AE163" s="39"/>
      <c r="AF163" s="39"/>
      <c r="AG163" s="39"/>
    </row>
    <row r="164" spans="1:33" s="50" customFormat="1" ht="15" hidden="1" x14ac:dyDescent="0.2">
      <c r="A164" s="51" t="s">
        <v>195</v>
      </c>
      <c r="B164" s="51"/>
      <c r="C164" s="65" t="str">
        <f>IFERROR(INDEX('[1]Balanza Egresos'!A$1:C$65536,MATCH(A164,'[1]Balanza Egresos'!A$1:A$65536,0),2),"SIN CUENTA")</f>
        <v>SIN CUENTA</v>
      </c>
      <c r="D164" s="53" t="e">
        <f>IF($P164="A",SUMIFS(D165:D$181,$A165:$A$181,LEFT($A164,$Q164)&amp;"*",$P165:$P$181,"R"),SUMIFS('[1]Balanza Egresos'!$F$1:$F$65536,'[1]Balanza Egresos'!$A$1:$A$65536,$A164))</f>
        <v>#VALUE!</v>
      </c>
      <c r="E164" s="53" t="e">
        <f>IF($P164="A",SUMIFS(E165:E$181,$A165:$A$181,LEFT($A164,$Q164)&amp;"*",$P165:$P$181,"R"),((H164/[1]Parametros!$E$12)*12)+$I164)</f>
        <v>#VALUE!</v>
      </c>
      <c r="F164" s="37">
        <f>IF($P164="A",SUMIFS(F165:F$181,$A165:$A$181,LEFT($A164,$Q164)&amp;"*",$P165:$P$181,"R"),K164+L164+M164+N164+O164)</f>
        <v>0</v>
      </c>
      <c r="G164" s="58"/>
      <c r="H164" s="59" t="e">
        <f>IF($P164="A",SUMIFS(H165:H$181,$A165:$A$181,LEFT($A164,$Q164)&amp;"*",$P165:$P$181,"R"),SUMIFS('[1]Balanza Egresos'!$V$1:$V$65536,'[1]Balanza Egresos'!$A$1:$A$65536,$A164))</f>
        <v>#VALUE!</v>
      </c>
      <c r="I164" s="66"/>
      <c r="J164" s="39"/>
      <c r="K164" s="61">
        <f>IF($P164="A",SUMIFS(K165:K$181,$A165:$A$181,LEFT($A164,$Q164)&amp;"*",$P165:$P$181,"R"),0)</f>
        <v>0</v>
      </c>
      <c r="L164" s="61">
        <f>IF($P164="A",SUMIFS(L165:L$181,$A165:$A$181,LEFT($A164,$Q164)&amp;"*",$P165:$P$181,"R"),0)</f>
        <v>0</v>
      </c>
      <c r="M164" s="61">
        <f>IF($P164="A",SUMIFS(M165:M$181,$A165:$A$181,LEFT($A164,$Q164)&amp;"*",$P165:$P$181,"R"),0)</f>
        <v>0</v>
      </c>
      <c r="N164" s="61">
        <f>IF($P164="A",SUMIFS(N165:N$181,$A165:$A$181,LEFT($A164,$Q164)&amp;"*",$P165:$P$181,"R"),0)</f>
        <v>0</v>
      </c>
      <c r="O164" s="61">
        <f>IF($P164="A",SUMIFS(O165:O$181,$A165:$A$181,LEFT($A164,$Q164)&amp;"*",$P165:$P$181,"R"),0)</f>
        <v>0</v>
      </c>
      <c r="P164" s="41" t="str">
        <f>IF(RIGHT(A164,2)="00","A","R")</f>
        <v>R</v>
      </c>
      <c r="Q164" s="41">
        <f>IF(RIGHT(A164,4)="0000",1,IF(RIGHT(A164,3)="000",2,IF(RIGHT(A164,2)="00",3,4)))</f>
        <v>4</v>
      </c>
      <c r="R164" s="55" t="e">
        <f t="shared" si="19"/>
        <v>#VALUE!</v>
      </c>
      <c r="S164" s="56"/>
      <c r="T164" s="57"/>
      <c r="U164" s="6"/>
      <c r="V164" s="45"/>
      <c r="W164" s="46"/>
      <c r="X164" s="47"/>
      <c r="Y164" s="46"/>
      <c r="Z164" s="48"/>
      <c r="AA164" s="49"/>
      <c r="AB164" s="39"/>
      <c r="AC164" s="39"/>
      <c r="AD164" s="39"/>
      <c r="AE164" s="39"/>
      <c r="AF164" s="39"/>
      <c r="AG164" s="39"/>
    </row>
    <row r="165" spans="1:33" s="50" customFormat="1" ht="15" hidden="1" x14ac:dyDescent="0.2">
      <c r="A165" s="51" t="s">
        <v>196</v>
      </c>
      <c r="B165" s="51"/>
      <c r="C165" s="65" t="str">
        <f>IFERROR(INDEX('[1]Balanza Egresos'!A$1:C$65536,MATCH(A165,'[1]Balanza Egresos'!A$1:A$65536,0),2),"SIN CUENTA")</f>
        <v>SIN CUENTA</v>
      </c>
      <c r="D165" s="53" t="e">
        <f>IF($P165="A",SUMIFS(D166:D$181,$A166:$A$181,LEFT($A165,$Q165)&amp;"*",$P166:$P$181,"R"),SUMIFS('[1]Balanza Egresos'!$F$1:$F$65536,'[1]Balanza Egresos'!$A$1:$A$65536,$A165))</f>
        <v>#VALUE!</v>
      </c>
      <c r="E165" s="53" t="e">
        <f>IF($P165="A",SUMIFS(E166:E$181,$A166:$A$181,LEFT($A165,$Q165)&amp;"*",$P166:$P$181,"R"),((H165/[1]Parametros!$E$12)*12)+$I165)</f>
        <v>#VALUE!</v>
      </c>
      <c r="F165" s="37">
        <f>IF($P165="A",SUMIFS(F166:F$181,$A166:$A$181,LEFT($A165,$Q165)&amp;"*",$P166:$P$181,"R"),K165+L165+M165+N165+O165)</f>
        <v>0</v>
      </c>
      <c r="G165" s="58"/>
      <c r="H165" s="59" t="e">
        <f>IF($P165="A",SUMIFS(H166:H$181,$A166:$A$181,LEFT($A165,$Q165)&amp;"*",$P166:$P$181,"R"),SUMIFS('[1]Balanza Egresos'!$V$1:$V$65536,'[1]Balanza Egresos'!$A$1:$A$65536,$A165))</f>
        <v>#VALUE!</v>
      </c>
      <c r="I165" s="66"/>
      <c r="J165" s="39"/>
      <c r="K165" s="61">
        <f>IF($P165="A",SUMIFS(K166:K$181,$A166:$A$181,LEFT($A165,$Q165)&amp;"*",$P166:$P$181,"R"),0)</f>
        <v>0</v>
      </c>
      <c r="L165" s="61">
        <f>IF($P165="A",SUMIFS(L166:L$181,$A166:$A$181,LEFT($A165,$Q165)&amp;"*",$P166:$P$181,"R"),0)</f>
        <v>0</v>
      </c>
      <c r="M165" s="61">
        <f>IF($P165="A",SUMIFS(M166:M$181,$A166:$A$181,LEFT($A165,$Q165)&amp;"*",$P166:$P$181,"R"),0)</f>
        <v>0</v>
      </c>
      <c r="N165" s="61">
        <f>IF($P165="A",SUMIFS(N166:N$181,$A166:$A$181,LEFT($A165,$Q165)&amp;"*",$P166:$P$181,"R"),0)</f>
        <v>0</v>
      </c>
      <c r="O165" s="61">
        <f>IF($P165="A",SUMIFS(O166:O$181,$A166:$A$181,LEFT($A165,$Q165)&amp;"*",$P166:$P$181,"R"),0)</f>
        <v>0</v>
      </c>
      <c r="P165" s="41" t="str">
        <f>IF(RIGHT(A165,2)="00","A","R")</f>
        <v>R</v>
      </c>
      <c r="Q165" s="41">
        <f>IF(RIGHT(A165,4)="0000",1,IF(RIGHT(A165,3)="000",2,IF(RIGHT(A165,2)="00",3,4)))</f>
        <v>4</v>
      </c>
      <c r="R165" s="55" t="e">
        <f t="shared" si="19"/>
        <v>#VALUE!</v>
      </c>
      <c r="S165" s="56"/>
      <c r="T165" s="57"/>
      <c r="U165" s="6"/>
      <c r="V165" s="45"/>
      <c r="W165" s="46"/>
      <c r="X165" s="47"/>
      <c r="Y165" s="46"/>
      <c r="Z165" s="48"/>
      <c r="AA165" s="49"/>
      <c r="AB165" s="39"/>
      <c r="AC165" s="39"/>
      <c r="AD165" s="39"/>
      <c r="AE165" s="39"/>
      <c r="AF165" s="39"/>
      <c r="AG165" s="39"/>
    </row>
    <row r="166" spans="1:33" s="50" customFormat="1" ht="15" hidden="1" x14ac:dyDescent="0.2">
      <c r="A166" s="51" t="s">
        <v>197</v>
      </c>
      <c r="B166" s="51"/>
      <c r="C166" s="65" t="str">
        <f>IFERROR(INDEX('[1]Balanza Egresos'!A$1:C$65536,MATCH(A166,'[1]Balanza Egresos'!A$1:A$65536,0),2),"SIN CUENTA")</f>
        <v>SIN CUENTA</v>
      </c>
      <c r="D166" s="53" t="e">
        <f>IF($P166="A",SUMIFS(D167:D$181,$A167:$A$181,LEFT($A166,$Q166)&amp;"*",$P167:$P$181,"R"),SUMIFS('[1]Balanza Egresos'!$F$1:$F$65536,'[1]Balanza Egresos'!$A$1:$A$65536,$A166))</f>
        <v>#VALUE!</v>
      </c>
      <c r="E166" s="53" t="e">
        <f>IF($P166="A",SUMIFS(E167:E$181,$A167:$A$181,LEFT($A166,$Q166)&amp;"*",$P167:$P$181,"R"),((H166/[1]Parametros!$E$12)*12)+$I166)</f>
        <v>#VALUE!</v>
      </c>
      <c r="F166" s="37">
        <f>IF($P166="A",SUMIFS(F167:F$181,$A167:$A$181,LEFT($A166,$Q166)&amp;"*",$P167:$P$181,"R"),K166+L166+M166+N166+O166)</f>
        <v>0</v>
      </c>
      <c r="G166" s="58"/>
      <c r="H166" s="59" t="e">
        <f>IF($P166="A",SUMIFS(H167:H$181,$A167:$A$181,LEFT($A166,$Q166)&amp;"*",$P167:$P$181,"R"),SUMIFS('[1]Balanza Egresos'!$V$1:$V$65536,'[1]Balanza Egresos'!$A$1:$A$65536,$A166))</f>
        <v>#VALUE!</v>
      </c>
      <c r="I166" s="66"/>
      <c r="J166" s="39"/>
      <c r="K166" s="61">
        <f>IF($P166="A",SUMIFS(K167:K$181,$A167:$A$181,LEFT($A166,$Q166)&amp;"*",$P167:$P$181,"R"),0)</f>
        <v>0</v>
      </c>
      <c r="L166" s="61">
        <f>IF($P166="A",SUMIFS(L167:L$181,$A167:$A$181,LEFT($A166,$Q166)&amp;"*",$P167:$P$181,"R"),0)</f>
        <v>0</v>
      </c>
      <c r="M166" s="61">
        <f>IF($P166="A",SUMIFS(M167:M$181,$A167:$A$181,LEFT($A166,$Q166)&amp;"*",$P167:$P$181,"R"),0)</f>
        <v>0</v>
      </c>
      <c r="N166" s="61">
        <f>IF($P166="A",SUMIFS(N167:N$181,$A167:$A$181,LEFT($A166,$Q166)&amp;"*",$P167:$P$181,"R"),0)</f>
        <v>0</v>
      </c>
      <c r="O166" s="61">
        <f>IF($P166="A",SUMIFS(O167:O$181,$A167:$A$181,LEFT($A166,$Q166)&amp;"*",$P167:$P$181,"R"),0)</f>
        <v>0</v>
      </c>
      <c r="P166" s="41" t="str">
        <f>IF(RIGHT(A166,2)="00","A","R")</f>
        <v>R</v>
      </c>
      <c r="Q166" s="41">
        <f>IF(RIGHT(A166,4)="0000",1,IF(RIGHT(A166,3)="000",2,IF(RIGHT(A166,2)="00",3,4)))</f>
        <v>4</v>
      </c>
      <c r="R166" s="55" t="e">
        <f t="shared" si="19"/>
        <v>#VALUE!</v>
      </c>
      <c r="S166" s="56"/>
      <c r="T166" s="57"/>
      <c r="U166" s="6"/>
      <c r="V166" s="45"/>
      <c r="W166" s="46"/>
      <c r="X166" s="47"/>
      <c r="Y166" s="46"/>
      <c r="Z166" s="48"/>
      <c r="AA166" s="49"/>
      <c r="AB166" s="39"/>
      <c r="AC166" s="39"/>
      <c r="AD166" s="39"/>
      <c r="AE166" s="39"/>
      <c r="AF166" s="39"/>
      <c r="AG166" s="39"/>
    </row>
    <row r="167" spans="1:33" s="50" customFormat="1" ht="15" x14ac:dyDescent="0.2">
      <c r="A167" s="51" t="s">
        <v>198</v>
      </c>
      <c r="B167" s="51"/>
      <c r="C167" s="65" t="str">
        <f>IFERROR(INDEX('[1]Balanza Egresos'!A$1:C$65536,MATCH(A167,'[1]Balanza Egresos'!A$1:A$65536,0),2),"SIN CUENTA")</f>
        <v xml:space="preserve">  División de terrenos y construcción de obras de urbanización</v>
      </c>
      <c r="D167" s="53" t="e">
        <f>IF($P167="A",SUMIFS(D168:D$181,$A168:$A$181,LEFT($A167,$Q167)&amp;"*",$P168:$P$181,"R"),SUMIFS('[1]Balanza Egresos'!$F$1:$F$65536,'[1]Balanza Egresos'!$A$1:$A$65536,$A167))</f>
        <v>#VALUE!</v>
      </c>
      <c r="E167" s="53" t="e">
        <f>IF($P167="A",SUMIFS(E168:E$181,$A168:$A$181,LEFT($A167,$Q167)&amp;"*",$P168:$P$181,"R"),((H167/[1]Parametros!$E$12)*12)+$I167)</f>
        <v>#VALUE!</v>
      </c>
      <c r="F167" s="37">
        <f>IF($P167="A",SUMIFS(F$181:F208,$A$181:$A208,LEFT($A167,$Q167)&amp;"*",$P$181:$P208,"R"),K167+L167+M167+N167)+F168</f>
        <v>11456876.59</v>
      </c>
      <c r="G167" s="62"/>
      <c r="H167" s="59" t="e">
        <f>IF($P167="A",SUMIFS(H168:H$181,$A168:$A$181,LEFT($A167,$Q167)&amp;"*",$P168:$P$181,"R"),SUMIFS('[1]Balanza Egresos'!$V$1:$V$65536,'[1]Balanza Egresos'!$A$1:$A$65536,$A167))</f>
        <v>#VALUE!</v>
      </c>
      <c r="I167" s="66"/>
      <c r="J167" s="39"/>
      <c r="K167" s="61">
        <f>IF($P167="A",SUMIFS(K168:K$181,$A168:$A$181,LEFT($A167,$Q167)&amp;"*",$P168:$P$181,"R"),0)</f>
        <v>0</v>
      </c>
      <c r="L167" s="61">
        <f>IF($P167="A",SUMIFS(L168:L$181,$A168:$A$181,LEFT($A167,$Q167)&amp;"*",$P168:$P$181,"R"),0)</f>
        <v>0</v>
      </c>
      <c r="M167" s="61">
        <f>IF($P167="A",SUMIFS(M168:M$181,$A168:$A$181,LEFT($A167,$Q167)&amp;"*",$P168:$P$181,"R"),0)</f>
        <v>7956876.5899999999</v>
      </c>
      <c r="N167" s="61">
        <f>IF($P167="A",SUMIFS(N168:N$181,$A168:$A$181,LEFT($A167,$Q167)&amp;"*",$P168:$P$181,"R"),0)</f>
        <v>3500000</v>
      </c>
      <c r="O167" s="61">
        <f>IF($P167="A",SUMIFS(O168:O$181,$A168:$A$181,LEFT($A167,$Q167)&amp;"*",$P168:$P$181,"R"),0)</f>
        <v>0</v>
      </c>
      <c r="P167" s="41" t="str">
        <f t="shared" si="20"/>
        <v>A</v>
      </c>
      <c r="Q167" s="41">
        <f t="shared" si="21"/>
        <v>3</v>
      </c>
      <c r="R167" s="55" t="e">
        <f t="shared" si="19"/>
        <v>#VALUE!</v>
      </c>
      <c r="S167" s="56"/>
      <c r="T167" s="57"/>
      <c r="U167" s="6"/>
      <c r="V167" s="45"/>
      <c r="W167" s="46"/>
      <c r="X167" s="47"/>
      <c r="Y167" s="46"/>
      <c r="Z167" s="48"/>
      <c r="AA167" s="49"/>
      <c r="AB167" s="39"/>
      <c r="AC167" s="39"/>
      <c r="AD167" s="39"/>
      <c r="AE167" s="39"/>
      <c r="AF167" s="39"/>
      <c r="AG167" s="39"/>
    </row>
    <row r="168" spans="1:33" s="50" customFormat="1" ht="22.5" x14ac:dyDescent="0.2">
      <c r="A168" s="51" t="s">
        <v>199</v>
      </c>
      <c r="B168" s="51"/>
      <c r="C168" s="65" t="str">
        <f>IFERROR(INDEX('[1]Balanza Egresos'!A$1:C$65536,MATCH(A168,'[1]Balanza Egresos'!A$1:A$65536,0),2),"SIN CUENTA")</f>
        <v xml:space="preserve">  División de terrenos y construcción de obras de urbanización</v>
      </c>
      <c r="D168" s="53" t="e">
        <f>IF($P168="A",SUMIFS(D169:D$181,$A169:$A$181,LEFT($A168,$Q168)&amp;"*",$P169:$P$181,"R"),SUMIFS('[1]Balanza Egresos'!$F$1:$F$65536,'[1]Balanza Egresos'!$A$1:$A$65536,$A168))</f>
        <v>#VALUE!</v>
      </c>
      <c r="E168" s="53" t="e">
        <f>IF($P168="A",SUMIFS(E169:E$181,$A169:$A$181,LEFT($A168,$Q168)&amp;"*",$P169:$P$181,"R"),((H168/[1]Parametros!$E$12)*12)+$I168)+1714444.16</f>
        <v>#VALUE!</v>
      </c>
      <c r="F168" s="37">
        <f>IF($P168="A",SUMIFS(F169:F$181,$A169:$A$181,LEFT($A168,$Q168)&amp;"*",$P169:$P$181,"R"),K168+L168+M168+N168+O168)</f>
        <v>11456876.59</v>
      </c>
      <c r="G168" s="60" t="s">
        <v>200</v>
      </c>
      <c r="H168" s="59" t="e">
        <f>IF($P168="A",SUMIFS(H169:H$181,$A169:$A$181,LEFT($A168,$Q168)&amp;"*",$P169:$P$181,"R"),SUMIFS('[1]Balanza Egresos'!$V$1:$V$65536,'[1]Balanza Egresos'!$A$1:$A$65536,$A168))</f>
        <v>#VALUE!</v>
      </c>
      <c r="I168" s="66">
        <f>6000000</f>
        <v>6000000</v>
      </c>
      <c r="J168" s="39"/>
      <c r="K168" s="61">
        <f>IF($P168="A",SUMIFS(K169:K$181,$A169:$A$181,LEFT($A168,$Q168)&amp;"*",$P169:$P$181,"R"),0)</f>
        <v>0</v>
      </c>
      <c r="L168" s="61">
        <f>IF($P168="A",SUMIFS(L169:L$181,$A169:$A$181,LEFT($A168,$Q168)&amp;"*",$P169:$P$181,"R"),0)</f>
        <v>0</v>
      </c>
      <c r="M168" s="61">
        <f>7000000+956876.59</f>
        <v>7956876.5899999999</v>
      </c>
      <c r="N168" s="61">
        <f>IF($P168="A",SUMIFS(N169:N$181,$A169:$A$181,LEFT($A168,$Q168)&amp;"*",$P169:$P$181,"R"),0)+3500000</f>
        <v>3500000</v>
      </c>
      <c r="O168" s="61">
        <f>IF($P168="A",SUMIFS(O169:O$181,$A169:$A$181,LEFT($A168,$Q168)&amp;"*",$P169:$P$181,"R"),0)</f>
        <v>0</v>
      </c>
      <c r="P168" s="41" t="str">
        <f t="shared" si="20"/>
        <v>R</v>
      </c>
      <c r="Q168" s="41">
        <f t="shared" si="21"/>
        <v>4</v>
      </c>
      <c r="R168" s="55" t="e">
        <f t="shared" si="19"/>
        <v>#VALUE!</v>
      </c>
      <c r="S168" s="56"/>
      <c r="T168" s="57"/>
      <c r="U168" s="6"/>
      <c r="V168" s="45"/>
      <c r="W168" s="46"/>
      <c r="X168" s="47"/>
      <c r="Y168" s="46"/>
      <c r="Z168" s="48"/>
      <c r="AA168" s="49"/>
      <c r="AB168" s="39"/>
      <c r="AC168" s="39"/>
      <c r="AD168" s="39"/>
      <c r="AE168" s="39"/>
      <c r="AF168" s="39"/>
      <c r="AG168" s="39"/>
    </row>
    <row r="169" spans="1:33" s="50" customFormat="1" ht="15" hidden="1" x14ac:dyDescent="0.2">
      <c r="A169" s="51" t="s">
        <v>201</v>
      </c>
      <c r="B169" s="51"/>
      <c r="C169" s="65" t="str">
        <f>IFERROR(INDEX('[1]Balanza Egresos'!A$1:C$65536,MATCH(A169,'[1]Balanza Egresos'!A$1:A$65536,0),2),"SIN CUENTA")</f>
        <v>SIN CUENTA</v>
      </c>
      <c r="D169" s="53" t="e">
        <f>IF($P169="A",SUMIFS(D170:D$181,$A170:$A$181,LEFT($A169,$Q169)&amp;"*",$P170:$P$181,"R"),SUMIFS('[1]Balanza Egresos'!$F$1:$F$65536,'[1]Balanza Egresos'!$A$1:$A$65536,$A169))</f>
        <v>#VALUE!</v>
      </c>
      <c r="E169" s="53" t="e">
        <f>IF($P169="A",SUMIFS(E170:E$181,$A170:$A$181,LEFT($A169,$Q169)&amp;"*",$P170:$P$181,"R"),((H169/[1]Parametros!$E$12)*12)+$I169)</f>
        <v>#VALUE!</v>
      </c>
      <c r="F169" s="37">
        <f>IF($P169="A",SUMIFS(F$181:F210,$A$181:$A210,LEFT($A169,$Q169)&amp;"*",$P$181:$P210,"R"),K169+L169+M169+N169)</f>
        <v>0</v>
      </c>
      <c r="G169" s="58"/>
      <c r="H169" s="59" t="e">
        <f>IF($P169="A",SUMIFS(H170:H$181,$A170:$A$181,LEFT($A169,$Q169)&amp;"*",$P170:$P$181,"R"),SUMIFS('[1]Balanza Egresos'!$V$1:$V$65536,'[1]Balanza Egresos'!$A$1:$A$65536,$A169))</f>
        <v>#VALUE!</v>
      </c>
      <c r="I169" s="66"/>
      <c r="J169" s="39"/>
      <c r="K169" s="61">
        <f>IF($P169="A",SUMIFS(K170:K$181,$A170:$A$181,LEFT($A169,$Q169)&amp;"*",$P170:$P$181,"R"),0)</f>
        <v>0</v>
      </c>
      <c r="L169" s="61">
        <f>IF($P169="A",SUMIFS(L170:L$181,$A170:$A$181,LEFT($A169,$Q169)&amp;"*",$P170:$P$181,"R"),0)</f>
        <v>0</v>
      </c>
      <c r="M169" s="61">
        <f>IF($P169="A",SUMIFS(M170:M$181,$A170:$A$181,LEFT($A169,$Q169)&amp;"*",$P170:$P$181,"R"),0)</f>
        <v>0</v>
      </c>
      <c r="N169" s="61">
        <f>IF($P169="A",SUMIFS(N170:N$181,$A170:$A$181,LEFT($A169,$Q169)&amp;"*",$P170:$P$181,"R"),0)</f>
        <v>0</v>
      </c>
      <c r="O169" s="61">
        <f>IF($P169="A",SUMIFS(O170:O$181,$A170:$A$181,LEFT($A169,$Q169)&amp;"*",$P170:$P$181,"R"),0)</f>
        <v>0</v>
      </c>
      <c r="P169" s="41" t="str">
        <f t="shared" si="20"/>
        <v>A</v>
      </c>
      <c r="Q169" s="41">
        <f t="shared" si="21"/>
        <v>3</v>
      </c>
      <c r="R169" s="55" t="e">
        <f t="shared" si="19"/>
        <v>#VALUE!</v>
      </c>
      <c r="S169" s="56"/>
      <c r="T169" s="57"/>
      <c r="U169" s="6"/>
      <c r="V169" s="45"/>
      <c r="W169" s="46"/>
      <c r="X169" s="47"/>
      <c r="Y169" s="46"/>
      <c r="Z169" s="48"/>
      <c r="AA169" s="49"/>
      <c r="AB169" s="39"/>
      <c r="AC169" s="39"/>
      <c r="AD169" s="39"/>
      <c r="AE169" s="39"/>
      <c r="AF169" s="39"/>
      <c r="AG169" s="39"/>
    </row>
    <row r="170" spans="1:33" s="50" customFormat="1" ht="15" hidden="1" x14ac:dyDescent="0.2">
      <c r="A170" s="51" t="s">
        <v>202</v>
      </c>
      <c r="B170" s="51"/>
      <c r="C170" s="65" t="str">
        <f>IFERROR(INDEX('[1]Balanza Egresos'!A$1:C$65536,MATCH(A170,'[1]Balanza Egresos'!A$1:A$65536,0),2),"SIN CUENTA")</f>
        <v>SIN CUENTA</v>
      </c>
      <c r="D170" s="53" t="e">
        <f>IF($P170="A",SUMIFS(D171:D$181,$A171:$A$181,LEFT($A170,$Q170)&amp;"*",$P171:$P$181,"R"),SUMIFS('[1]Balanza Egresos'!$F$1:$F$65536,'[1]Balanza Egresos'!$A$1:$A$65536,$A170))</f>
        <v>#VALUE!</v>
      </c>
      <c r="E170" s="53" t="e">
        <f>IF($P170="A",SUMIFS(E171:E$181,$A171:$A$181,LEFT($A170,$Q170)&amp;"*",$P171:$P$181,"R"),((H170/[1]Parametros!$E$12)*12)+$I170)</f>
        <v>#VALUE!</v>
      </c>
      <c r="F170" s="37">
        <f>IF($P170="A",SUMIFS(F171:F$181,$A171:$A$181,LEFT($A170,$Q170)&amp;"*",$P171:$P$181,"R"),K170+L170+M170+N170+O170)</f>
        <v>0</v>
      </c>
      <c r="G170" s="58"/>
      <c r="H170" s="59" t="e">
        <f>IF($P170="A",SUMIFS(H171:H$181,$A171:$A$181,LEFT($A170,$Q170)&amp;"*",$P171:$P$181,"R"),SUMIFS('[1]Balanza Egresos'!$V$1:$V$65536,'[1]Balanza Egresos'!$A$1:$A$65536,$A170))</f>
        <v>#VALUE!</v>
      </c>
      <c r="I170" s="66"/>
      <c r="J170" s="39"/>
      <c r="K170" s="61">
        <f>IF($P170="A",SUMIFS(K171:K$181,$A171:$A$181,LEFT($A170,$Q170)&amp;"*",$P171:$P$181,"R"),0)</f>
        <v>0</v>
      </c>
      <c r="L170" s="61">
        <f>IF($P170="A",SUMIFS(L171:L$181,$A171:$A$181,LEFT($A170,$Q170)&amp;"*",$P171:$P$181,"R"),0)</f>
        <v>0</v>
      </c>
      <c r="M170" s="61">
        <f>IF($P170="A",SUMIFS(M171:M$181,$A171:$A$181,LEFT($A170,$Q170)&amp;"*",$P171:$P$181,"R"),0)</f>
        <v>0</v>
      </c>
      <c r="N170" s="61">
        <f>IF($P170="A",SUMIFS(N171:N$181,$A171:$A$181,LEFT($A170,$Q170)&amp;"*",$P171:$P$181,"R"),0)</f>
        <v>0</v>
      </c>
      <c r="O170" s="61">
        <f>IF($P170="A",SUMIFS(O171:O$181,$A171:$A$181,LEFT($A170,$Q170)&amp;"*",$P171:$P$181,"R"),0)</f>
        <v>0</v>
      </c>
      <c r="P170" s="41" t="str">
        <f t="shared" si="20"/>
        <v>R</v>
      </c>
      <c r="Q170" s="41">
        <f t="shared" si="21"/>
        <v>4</v>
      </c>
      <c r="R170" s="55" t="e">
        <f t="shared" si="19"/>
        <v>#VALUE!</v>
      </c>
      <c r="S170" s="56"/>
      <c r="T170" s="57"/>
      <c r="U170" s="6"/>
      <c r="V170" s="45"/>
      <c r="W170" s="46"/>
      <c r="X170" s="47"/>
      <c r="Y170" s="46"/>
      <c r="Z170" s="48"/>
      <c r="AA170" s="49"/>
      <c r="AB170" s="39"/>
      <c r="AC170" s="39"/>
      <c r="AD170" s="39"/>
      <c r="AE170" s="39"/>
      <c r="AF170" s="39"/>
      <c r="AG170" s="39"/>
    </row>
    <row r="171" spans="1:33" s="50" customFormat="1" ht="15" hidden="1" x14ac:dyDescent="0.2">
      <c r="A171" s="51" t="s">
        <v>203</v>
      </c>
      <c r="B171" s="51"/>
      <c r="C171" s="65" t="str">
        <f>IFERROR(INDEX('[1]Balanza Egresos'!A$1:C$65536,MATCH(A171,'[1]Balanza Egresos'!A$1:A$65536,0),2),"SIN CUENTA")</f>
        <v>SIN CUENTA</v>
      </c>
      <c r="D171" s="53" t="e">
        <f>IF($P171="A",SUMIFS(D172:D$181,$A172:$A$181,LEFT($A171,$Q171)&amp;"*",$P172:$P$181,"R"),SUMIFS('[1]Balanza Egresos'!$F$1:$F$65536,'[1]Balanza Egresos'!$A$1:$A$65536,$A171))</f>
        <v>#VALUE!</v>
      </c>
      <c r="E171" s="53" t="e">
        <f>IF($P171="A",SUMIFS(E172:E$181,$A172:$A$181,LEFT($A171,$Q171)&amp;"*",$P172:$P$181,"R"),((H171/[1]Parametros!$E$12)*12)+$I171)</f>
        <v>#VALUE!</v>
      </c>
      <c r="F171" s="37">
        <f>IF($P171="A",SUMIFS(F$181:F212,$A$181:$A212,LEFT($A171,$Q171)&amp;"*",$P$181:$P212,"R"),K171+L171+M171+N171)</f>
        <v>0</v>
      </c>
      <c r="G171" s="58"/>
      <c r="H171" s="59" t="e">
        <f>IF($P171="A",SUMIFS(H172:H$181,$A172:$A$181,LEFT($A171,$Q171)&amp;"*",$P172:$P$181,"R"),SUMIFS('[1]Balanza Egresos'!$V$1:$V$65536,'[1]Balanza Egresos'!$A$1:$A$65536,$A171))</f>
        <v>#VALUE!</v>
      </c>
      <c r="I171" s="66"/>
      <c r="J171" s="39"/>
      <c r="K171" s="61">
        <f>IF($P171="A",SUMIFS(K172:K$181,$A172:$A$181,LEFT($A171,$Q171)&amp;"*",$P172:$P$181,"R"),0)</f>
        <v>0</v>
      </c>
      <c r="L171" s="61">
        <f>IF($P171="A",SUMIFS(L172:L$181,$A172:$A$181,LEFT($A171,$Q171)&amp;"*",$P172:$P$181,"R"),0)</f>
        <v>0</v>
      </c>
      <c r="M171" s="61">
        <f>IF($P171="A",SUMIFS(M172:M$181,$A172:$A$181,LEFT($A171,$Q171)&amp;"*",$P172:$P$181,"R"),0)</f>
        <v>0</v>
      </c>
      <c r="N171" s="61">
        <f>IF($P171="A",SUMIFS(N172:N$181,$A172:$A$181,LEFT($A171,$Q171)&amp;"*",$P172:$P$181,"R"),0)</f>
        <v>0</v>
      </c>
      <c r="O171" s="61">
        <f>IF($P171="A",SUMIFS(O172:O$181,$A172:$A$181,LEFT($A171,$Q171)&amp;"*",$P172:$P$181,"R"),0)</f>
        <v>0</v>
      </c>
      <c r="P171" s="41" t="str">
        <f t="shared" si="20"/>
        <v>A</v>
      </c>
      <c r="Q171" s="41">
        <f t="shared" si="21"/>
        <v>3</v>
      </c>
      <c r="R171" s="55" t="e">
        <f t="shared" si="19"/>
        <v>#VALUE!</v>
      </c>
      <c r="S171" s="56"/>
      <c r="T171" s="57"/>
      <c r="U171" s="6"/>
      <c r="V171" s="45"/>
      <c r="W171" s="46"/>
      <c r="X171" s="47"/>
      <c r="Y171" s="46"/>
      <c r="Z171" s="48"/>
      <c r="AA171" s="49"/>
      <c r="AB171" s="39"/>
      <c r="AC171" s="39"/>
      <c r="AD171" s="39"/>
      <c r="AE171" s="39"/>
      <c r="AF171" s="39"/>
      <c r="AG171" s="39"/>
    </row>
    <row r="172" spans="1:33" s="50" customFormat="1" ht="15" hidden="1" x14ac:dyDescent="0.2">
      <c r="A172" s="51" t="s">
        <v>204</v>
      </c>
      <c r="B172" s="51"/>
      <c r="C172" s="65" t="str">
        <f>IFERROR(INDEX('[1]Balanza Egresos'!A$1:C$65536,MATCH(A172,'[1]Balanza Egresos'!A$1:A$65536,0),2),"SIN CUENTA")</f>
        <v>SIN CUENTA</v>
      </c>
      <c r="D172" s="53" t="e">
        <f>IF($P172="A",SUMIFS(D173:D$181,$A173:$A$181,LEFT($A172,$Q172)&amp;"*",$P173:$P$181,"R"),SUMIFS('[1]Balanza Egresos'!$F$1:$F$65536,'[1]Balanza Egresos'!$A$1:$A$65536,$A172))</f>
        <v>#VALUE!</v>
      </c>
      <c r="E172" s="53" t="e">
        <f>IF($P172="A",SUMIFS(E173:E$181,$A173:$A$181,LEFT($A172,$Q172)&amp;"*",$P173:$P$181,"R"),((H172/[1]Parametros!$E$12)*12)+$I172)</f>
        <v>#VALUE!</v>
      </c>
      <c r="F172" s="37">
        <f>IF($P172="A",SUMIFS(F173:F$181,$A173:$A$181,LEFT($A172,$Q172)&amp;"*",$P173:$P$181,"R"),K172+L172+M172+N172+O172)</f>
        <v>0</v>
      </c>
      <c r="G172" s="58"/>
      <c r="H172" s="59" t="e">
        <f>IF($P172="A",SUMIFS(H173:H$181,$A173:$A$181,LEFT($A172,$Q172)&amp;"*",$P173:$P$181,"R"),SUMIFS('[1]Balanza Egresos'!$V$1:$V$65536,'[1]Balanza Egresos'!$A$1:$A$65536,$A172))</f>
        <v>#VALUE!</v>
      </c>
      <c r="I172" s="66"/>
      <c r="J172" s="39"/>
      <c r="K172" s="61">
        <f>IF($P172="A",SUMIFS(K173:K$181,$A173:$A$181,LEFT($A172,$Q172)&amp;"*",$P173:$P$181,"R"),0)</f>
        <v>0</v>
      </c>
      <c r="L172" s="61">
        <f>IF($P172="A",SUMIFS(L173:L$181,$A173:$A$181,LEFT($A172,$Q172)&amp;"*",$P173:$P$181,"R"),0)</f>
        <v>0</v>
      </c>
      <c r="M172" s="61">
        <f>IF($P172="A",SUMIFS(M173:M$181,$A173:$A$181,LEFT($A172,$Q172)&amp;"*",$P173:$P$181,"R"),0)</f>
        <v>0</v>
      </c>
      <c r="N172" s="61">
        <f>IF($P172="A",SUMIFS(N173:N$181,$A173:$A$181,LEFT($A172,$Q172)&amp;"*",$P173:$P$181,"R"),0)</f>
        <v>0</v>
      </c>
      <c r="O172" s="61">
        <f>IF($P172="A",SUMIFS(O173:O$181,$A173:$A$181,LEFT($A172,$Q172)&amp;"*",$P173:$P$181,"R"),0)</f>
        <v>0</v>
      </c>
      <c r="P172" s="41" t="str">
        <f t="shared" si="20"/>
        <v>R</v>
      </c>
      <c r="Q172" s="41">
        <f t="shared" si="21"/>
        <v>4</v>
      </c>
      <c r="R172" s="55" t="e">
        <f t="shared" si="19"/>
        <v>#VALUE!</v>
      </c>
      <c r="S172" s="56"/>
      <c r="T172" s="57"/>
      <c r="U172" s="6"/>
      <c r="V172" s="45"/>
      <c r="W172" s="46"/>
      <c r="X172" s="47"/>
      <c r="Y172" s="46"/>
      <c r="Z172" s="48"/>
      <c r="AA172" s="49"/>
      <c r="AB172" s="39"/>
      <c r="AC172" s="39"/>
      <c r="AD172" s="39"/>
      <c r="AE172" s="39"/>
      <c r="AF172" s="39"/>
      <c r="AG172" s="39"/>
    </row>
    <row r="173" spans="1:33" s="50" customFormat="1" ht="15" hidden="1" x14ac:dyDescent="0.2">
      <c r="A173" s="51" t="s">
        <v>205</v>
      </c>
      <c r="B173" s="51"/>
      <c r="C173" s="65" t="str">
        <f>IFERROR(INDEX('[1]Balanza Egresos'!A$1:C$65536,MATCH(A173,'[1]Balanza Egresos'!A$1:A$65536,0),2),"SIN CUENTA")</f>
        <v>SIN CUENTA</v>
      </c>
      <c r="D173" s="53" t="e">
        <f>IF($P173="A",SUMIFS(D174:D$181,$A174:$A$181,LEFT($A173,$Q173)&amp;"*",$P174:$P$181,"R"),SUMIFS('[1]Balanza Egresos'!$F$1:$F$65536,'[1]Balanza Egresos'!$A$1:$A$65536,$A173))</f>
        <v>#VALUE!</v>
      </c>
      <c r="E173" s="53" t="e">
        <f>IF($P173="A",SUMIFS(E174:E$181,$A174:$A$181,LEFT($A173,$Q173)&amp;"*",$P174:$P$181,"R"),((H173/[1]Parametros!$E$12)*12)+$I173)</f>
        <v>#VALUE!</v>
      </c>
      <c r="F173" s="37">
        <f>IF($P173="A",SUMIFS(F$181:F214,$A$181:$A214,LEFT($A173,$Q173)&amp;"*",$P$181:$P214,"R"),K173+L173+M173+N173)</f>
        <v>0</v>
      </c>
      <c r="G173" s="58"/>
      <c r="H173" s="59" t="e">
        <f>IF($P173="A",SUMIFS(H174:H$181,$A174:$A$181,LEFT($A173,$Q173)&amp;"*",$P174:$P$181,"R"),SUMIFS('[1]Balanza Egresos'!$V$1:$V$65536,'[1]Balanza Egresos'!$A$1:$A$65536,$A173))</f>
        <v>#VALUE!</v>
      </c>
      <c r="I173" s="66"/>
      <c r="J173" s="39"/>
      <c r="K173" s="61">
        <f>IF($P173="A",SUMIFS(K174:K$181,$A174:$A$181,LEFT($A173,$Q173)&amp;"*",$P174:$P$181,"R"),0)</f>
        <v>0</v>
      </c>
      <c r="L173" s="61">
        <f>IF($P173="A",SUMIFS(L174:L$181,$A174:$A$181,LEFT($A173,$Q173)&amp;"*",$P174:$P$181,"R"),0)</f>
        <v>0</v>
      </c>
      <c r="M173" s="61">
        <f>IF($P173="A",SUMIFS(M174:M$181,$A174:$A$181,LEFT($A173,$Q173)&amp;"*",$P174:$P$181,"R"),0)</f>
        <v>0</v>
      </c>
      <c r="N173" s="61">
        <f>IF($P173="A",SUMIFS(N174:N$181,$A174:$A$181,LEFT($A173,$Q173)&amp;"*",$P174:$P$181,"R"),0)</f>
        <v>0</v>
      </c>
      <c r="O173" s="61">
        <f>IF($P173="A",SUMIFS(O174:O$181,$A174:$A$181,LEFT($A173,$Q173)&amp;"*",$P174:$P$181,"R"),0)</f>
        <v>0</v>
      </c>
      <c r="P173" s="41" t="str">
        <f t="shared" si="20"/>
        <v>A</v>
      </c>
      <c r="Q173" s="41">
        <f t="shared" si="21"/>
        <v>3</v>
      </c>
      <c r="R173" s="55" t="e">
        <f t="shared" si="19"/>
        <v>#VALUE!</v>
      </c>
      <c r="S173" s="56"/>
      <c r="T173" s="57"/>
      <c r="U173" s="6"/>
      <c r="V173" s="45"/>
      <c r="W173" s="46"/>
      <c r="X173" s="47"/>
      <c r="Y173" s="46"/>
      <c r="Z173" s="48"/>
      <c r="AA173" s="49"/>
      <c r="AB173" s="39"/>
      <c r="AC173" s="39"/>
      <c r="AD173" s="39"/>
      <c r="AE173" s="39"/>
      <c r="AF173" s="39"/>
      <c r="AG173" s="39"/>
    </row>
    <row r="174" spans="1:33" s="50" customFormat="1" ht="15" hidden="1" x14ac:dyDescent="0.2">
      <c r="A174" s="51" t="s">
        <v>206</v>
      </c>
      <c r="B174" s="51"/>
      <c r="C174" s="65" t="str">
        <f>IFERROR(INDEX('[1]Balanza Egresos'!A$1:C$65536,MATCH(A174,'[1]Balanza Egresos'!A$1:A$65536,0),2),"SIN CUENTA")</f>
        <v>SIN CUENTA</v>
      </c>
      <c r="D174" s="53" t="e">
        <f>IF($P174="A",SUMIFS(D175:D$181,$A175:$A$181,LEFT($A174,$Q174)&amp;"*",$P175:$P$181,"R"),SUMIFS('[1]Balanza Egresos'!$F$1:$F$65536,'[1]Balanza Egresos'!$A$1:$A$65536,$A174))</f>
        <v>#VALUE!</v>
      </c>
      <c r="E174" s="53" t="e">
        <f>IF($P174="A",SUMIFS(E175:E$181,$A175:$A$181,LEFT($A174,$Q174)&amp;"*",$P175:$P$181,"R"),((H174/[1]Parametros!$E$12)*12)+$I174)</f>
        <v>#VALUE!</v>
      </c>
      <c r="F174" s="37">
        <f>IF($P174="A",SUMIFS(F175:F$181,$A175:$A$181,LEFT($A174,$Q174)&amp;"*",$P175:$P$181,"R"),K174+L174+M174+N174+O174)</f>
        <v>0</v>
      </c>
      <c r="G174" s="58"/>
      <c r="H174" s="59" t="e">
        <f>IF($P174="A",SUMIFS(H175:H$181,$A175:$A$181,LEFT($A174,$Q174)&amp;"*",$P175:$P$181,"R"),SUMIFS('[1]Balanza Egresos'!$V$1:$V$65536,'[1]Balanza Egresos'!$A$1:$A$65536,$A174))</f>
        <v>#VALUE!</v>
      </c>
      <c r="I174" s="66"/>
      <c r="J174" s="39"/>
      <c r="K174" s="61">
        <f>IF($P174="A",SUMIFS(K175:K$181,$A175:$A$181,LEFT($A174,$Q174)&amp;"*",$P175:$P$181,"R"),0)</f>
        <v>0</v>
      </c>
      <c r="L174" s="61">
        <f>IF($P174="A",SUMIFS(L175:L$181,$A175:$A$181,LEFT($A174,$Q174)&amp;"*",$P175:$P$181,"R"),0)</f>
        <v>0</v>
      </c>
      <c r="M174" s="61">
        <f>IF($P174="A",SUMIFS(M175:M$181,$A175:$A$181,LEFT($A174,$Q174)&amp;"*",$P175:$P$181,"R"),0)</f>
        <v>0</v>
      </c>
      <c r="N174" s="61">
        <f>IF($P174="A",SUMIFS(N175:N$181,$A175:$A$181,LEFT($A174,$Q174)&amp;"*",$P175:$P$181,"R"),0)</f>
        <v>0</v>
      </c>
      <c r="O174" s="61">
        <f>IF($P174="A",SUMIFS(O175:O$181,$A175:$A$181,LEFT($A174,$Q174)&amp;"*",$P175:$P$181,"R"),0)</f>
        <v>0</v>
      </c>
      <c r="P174" s="41" t="str">
        <f t="shared" si="20"/>
        <v>R</v>
      </c>
      <c r="Q174" s="41">
        <f t="shared" si="21"/>
        <v>4</v>
      </c>
      <c r="R174" s="55" t="e">
        <f t="shared" si="19"/>
        <v>#VALUE!</v>
      </c>
      <c r="S174" s="56"/>
      <c r="T174" s="57"/>
      <c r="U174" s="6"/>
      <c r="V174" s="45"/>
      <c r="W174" s="46"/>
      <c r="X174" s="47"/>
      <c r="Y174" s="46"/>
      <c r="Z174" s="48"/>
      <c r="AA174" s="49"/>
      <c r="AB174" s="39"/>
      <c r="AC174" s="39"/>
      <c r="AD174" s="39"/>
      <c r="AE174" s="39"/>
      <c r="AF174" s="39"/>
      <c r="AG174" s="39"/>
    </row>
    <row r="175" spans="1:33" s="50" customFormat="1" ht="15" hidden="1" x14ac:dyDescent="0.2">
      <c r="A175" s="51" t="s">
        <v>207</v>
      </c>
      <c r="B175" s="51"/>
      <c r="C175" s="65" t="str">
        <f>IFERROR(INDEX('[1]Balanza Egresos'!A$1:C$65536,MATCH(A175,'[1]Balanza Egresos'!A$1:A$65536,0),2),"SIN CUENTA")</f>
        <v>SIN CUENTA</v>
      </c>
      <c r="D175" s="53" t="e">
        <f>IF($P175="A",SUMIFS(D176:D$181,$A176:$A$181,LEFT($A175,$Q175)&amp;"*",$P176:$P$181,"R"),SUMIFS('[1]Balanza Egresos'!$F$1:$F$65536,'[1]Balanza Egresos'!$A$1:$A$65536,$A175))</f>
        <v>#VALUE!</v>
      </c>
      <c r="E175" s="53" t="e">
        <f>IF($P175="A",SUMIFS(E176:E$181,$A176:$A$181,LEFT($A175,$Q175)&amp;"*",$P176:$P$181,"R"),((H175/[1]Parametros!$E$12)*12)+$I175)</f>
        <v>#VALUE!</v>
      </c>
      <c r="F175" s="37">
        <f>IF($P175="A",SUMIFS(F$181:F216,$A$181:$A216,LEFT($A175,$Q175)&amp;"*",$P$181:$P216,"R"),K175+L175+M175+N175)</f>
        <v>0</v>
      </c>
      <c r="G175" s="58"/>
      <c r="H175" s="59" t="e">
        <f>IF($P175="A",SUMIFS(H176:H$181,$A176:$A$181,LEFT($A175,$Q175)&amp;"*",$P176:$P$181,"R"),SUMIFS('[1]Balanza Egresos'!$V$1:$V$65536,'[1]Balanza Egresos'!$A$1:$A$65536,$A175))</f>
        <v>#VALUE!</v>
      </c>
      <c r="I175" s="66"/>
      <c r="J175" s="39"/>
      <c r="K175" s="61">
        <f>IF($P175="A",SUMIFS(K176:K$181,$A176:$A$181,LEFT($A175,$Q175)&amp;"*",$P176:$P$181,"R"),0)</f>
        <v>0</v>
      </c>
      <c r="L175" s="61">
        <f>IF($P175="A",SUMIFS(L176:L$181,$A176:$A$181,LEFT($A175,$Q175)&amp;"*",$P176:$P$181,"R"),0)</f>
        <v>0</v>
      </c>
      <c r="M175" s="61">
        <f>IF($P175="A",SUMIFS(M176:M$181,$A176:$A$181,LEFT($A175,$Q175)&amp;"*",$P176:$P$181,"R"),0)</f>
        <v>0</v>
      </c>
      <c r="N175" s="61">
        <f>IF($P175="A",SUMIFS(N176:N$181,$A176:$A$181,LEFT($A175,$Q175)&amp;"*",$P176:$P$181,"R"),0)</f>
        <v>0</v>
      </c>
      <c r="O175" s="61">
        <f>IF($P175="A",SUMIFS(O176:O$181,$A176:$A$181,LEFT($A175,$Q175)&amp;"*",$P176:$P$181,"R"),0)</f>
        <v>0</v>
      </c>
      <c r="P175" s="41" t="str">
        <f t="shared" si="20"/>
        <v>A</v>
      </c>
      <c r="Q175" s="41">
        <f t="shared" si="21"/>
        <v>3</v>
      </c>
      <c r="R175" s="55" t="e">
        <f t="shared" si="19"/>
        <v>#VALUE!</v>
      </c>
      <c r="S175" s="56"/>
      <c r="T175" s="57"/>
      <c r="U175" s="6"/>
      <c r="V175" s="45"/>
      <c r="W175" s="46"/>
      <c r="X175" s="47"/>
      <c r="Y175" s="46"/>
      <c r="Z175" s="48"/>
      <c r="AA175" s="49"/>
      <c r="AB175" s="39"/>
      <c r="AC175" s="39"/>
      <c r="AD175" s="39"/>
      <c r="AE175" s="39"/>
      <c r="AF175" s="39"/>
      <c r="AG175" s="39"/>
    </row>
    <row r="176" spans="1:33" s="50" customFormat="1" ht="15" hidden="1" x14ac:dyDescent="0.2">
      <c r="A176" s="51" t="s">
        <v>208</v>
      </c>
      <c r="B176" s="51"/>
      <c r="C176" s="65" t="str">
        <f>IFERROR(INDEX('[1]Balanza Egresos'!A$1:C$65536,MATCH(A176,'[1]Balanza Egresos'!A$1:A$65536,0),2),"SIN CUENTA")</f>
        <v>SIN CUENTA</v>
      </c>
      <c r="D176" s="53" t="e">
        <f>IF($P176="A",SUMIFS(D177:D$181,$A177:$A$181,LEFT($A176,$Q176)&amp;"*",$P177:$P$181,"R"),SUMIFS('[1]Balanza Egresos'!$F$1:$F$65536,'[1]Balanza Egresos'!$A$1:$A$65536,$A176))</f>
        <v>#VALUE!</v>
      </c>
      <c r="E176" s="53" t="e">
        <f>IF($P176="A",SUMIFS(E177:E$181,$A177:$A$181,LEFT($A176,$Q176)&amp;"*",$P177:$P$181,"R"),((H176/[1]Parametros!$E$12)*12)+$I176)</f>
        <v>#VALUE!</v>
      </c>
      <c r="F176" s="37">
        <f>IF($P176="A",SUMIFS(F177:F$181,$A177:$A$181,LEFT($A176,$Q176)&amp;"*",$P177:$P$181,"R"),K176+L176+M176+N176+O176)</f>
        <v>0</v>
      </c>
      <c r="G176" s="58"/>
      <c r="H176" s="59" t="e">
        <f>IF($P176="A",SUMIFS(H177:H$181,$A177:$A$181,LEFT($A176,$Q176)&amp;"*",$P177:$P$181,"R"),SUMIFS('[1]Balanza Egresos'!$V$1:$V$65536,'[1]Balanza Egresos'!$A$1:$A$65536,$A176))</f>
        <v>#VALUE!</v>
      </c>
      <c r="I176" s="66"/>
      <c r="J176" s="39"/>
      <c r="K176" s="61">
        <f>IF($P176="A",SUMIFS(K177:K$181,$A177:$A$181,LEFT($A176,$Q176)&amp;"*",$P177:$P$181,"R"),0)</f>
        <v>0</v>
      </c>
      <c r="L176" s="61">
        <f>IF($P176="A",SUMIFS(L177:L$181,$A177:$A$181,LEFT($A176,$Q176)&amp;"*",$P177:$P$181,"R"),0)</f>
        <v>0</v>
      </c>
      <c r="M176" s="61">
        <f>IF($P176="A",SUMIFS(M177:M$181,$A177:$A$181,LEFT($A176,$Q176)&amp;"*",$P177:$P$181,"R"),0)</f>
        <v>0</v>
      </c>
      <c r="N176" s="61">
        <f>IF($P176="A",SUMIFS(N177:N$181,$A177:$A$181,LEFT($A176,$Q176)&amp;"*",$P177:$P$181,"R"),0)</f>
        <v>0</v>
      </c>
      <c r="O176" s="61">
        <f>IF($P176="A",SUMIFS(O177:O$181,$A177:$A$181,LEFT($A176,$Q176)&amp;"*",$P177:$P$181,"R"),0)</f>
        <v>0</v>
      </c>
      <c r="P176" s="41" t="str">
        <f t="shared" si="20"/>
        <v>R</v>
      </c>
      <c r="Q176" s="41">
        <f t="shared" si="21"/>
        <v>4</v>
      </c>
      <c r="R176" s="55" t="e">
        <f t="shared" si="19"/>
        <v>#VALUE!</v>
      </c>
      <c r="S176" s="56"/>
      <c r="T176" s="57"/>
      <c r="U176" s="6"/>
      <c r="V176" s="45"/>
      <c r="W176" s="46"/>
      <c r="X176" s="47"/>
      <c r="Y176" s="46"/>
      <c r="Z176" s="48"/>
      <c r="AA176" s="49"/>
      <c r="AB176" s="39"/>
      <c r="AC176" s="39"/>
      <c r="AD176" s="39"/>
      <c r="AE176" s="39"/>
      <c r="AF176" s="39"/>
      <c r="AG176" s="39"/>
    </row>
    <row r="177" spans="1:33" s="50" customFormat="1" ht="15" hidden="1" x14ac:dyDescent="0.2">
      <c r="A177" s="51" t="s">
        <v>209</v>
      </c>
      <c r="B177" s="51"/>
      <c r="C177" s="65" t="str">
        <f>IFERROR(INDEX('[1]Balanza Egresos'!A$1:C$65536,MATCH(A177,'[1]Balanza Egresos'!A$1:A$65536,0),2),"SIN CUENTA")</f>
        <v>SIN CUENTA</v>
      </c>
      <c r="D177" s="53" t="e">
        <f>IF($P177="A",SUMIFS(D178:D$181,$A178:$A$181,LEFT($A177,$Q177)&amp;"*",$P178:$P$181,"R"),SUMIFS('[1]Balanza Egresos'!$F$1:$F$65536,'[1]Balanza Egresos'!$A$1:$A$65536,$A177))</f>
        <v>#VALUE!</v>
      </c>
      <c r="E177" s="53" t="e">
        <f>IF($P177="A",SUMIFS(E178:E$181,$A178:$A$181,LEFT($A177,$Q177)&amp;"*",$P178:$P$181,"R"),((H177/[1]Parametros!$E$12)*12)+$I177)</f>
        <v>#VALUE!</v>
      </c>
      <c r="F177" s="37">
        <f>IF($P177="A",SUMIFS(F$181:F218,$A$181:$A218,LEFT($A177,$Q177)&amp;"*",$P$181:$P218,"R"),K177+L177+M177+N177)</f>
        <v>0</v>
      </c>
      <c r="G177" s="58"/>
      <c r="H177" s="59" t="e">
        <f>IF($P177="A",SUMIFS(H178:H$181,$A178:$A$181,LEFT($A177,$Q177)&amp;"*",$P178:$P$181,"R"),SUMIFS('[1]Balanza Egresos'!$V$1:$V$65536,'[1]Balanza Egresos'!$A$1:$A$65536,$A177))</f>
        <v>#VALUE!</v>
      </c>
      <c r="I177" s="66"/>
      <c r="J177" s="39"/>
      <c r="K177" s="61">
        <f>IF($P177="A",SUMIFS(K178:K$181,$A178:$A$181,LEFT($A177,$Q177)&amp;"*",$P178:$P$181,"R"),0)</f>
        <v>0</v>
      </c>
      <c r="L177" s="61">
        <f>IF($P177="A",SUMIFS(L178:L$181,$A178:$A$181,LEFT($A177,$Q177)&amp;"*",$P178:$P$181,"R"),0)</f>
        <v>0</v>
      </c>
      <c r="M177" s="61">
        <f>IF($P177="A",SUMIFS(M178:M$181,$A178:$A$181,LEFT($A177,$Q177)&amp;"*",$P178:$P$181,"R"),0)</f>
        <v>0</v>
      </c>
      <c r="N177" s="61">
        <f>IF($P177="A",SUMIFS(N178:N$181,$A178:$A$181,LEFT($A177,$Q177)&amp;"*",$P178:$P$181,"R"),0)</f>
        <v>0</v>
      </c>
      <c r="O177" s="61">
        <f>IF($P177="A",SUMIFS(O178:O$181,$A178:$A$181,LEFT($A177,$Q177)&amp;"*",$P178:$P$181,"R"),0)</f>
        <v>0</v>
      </c>
      <c r="P177" s="41" t="str">
        <f t="shared" si="20"/>
        <v>A</v>
      </c>
      <c r="Q177" s="41">
        <f t="shared" si="21"/>
        <v>2</v>
      </c>
      <c r="R177" s="55" t="e">
        <f t="shared" si="19"/>
        <v>#VALUE!</v>
      </c>
      <c r="S177" s="56"/>
      <c r="T177" s="57"/>
      <c r="U177" s="6"/>
      <c r="V177" s="45"/>
      <c r="W177" s="46"/>
      <c r="X177" s="47"/>
      <c r="Y177" s="46"/>
      <c r="Z177" s="48"/>
      <c r="AA177" s="49"/>
      <c r="AB177" s="39"/>
      <c r="AC177" s="39"/>
      <c r="AD177" s="39"/>
      <c r="AE177" s="39"/>
      <c r="AF177" s="39"/>
      <c r="AG177" s="39"/>
    </row>
    <row r="178" spans="1:33" s="50" customFormat="1" ht="15" hidden="1" x14ac:dyDescent="0.2">
      <c r="A178" s="51" t="s">
        <v>210</v>
      </c>
      <c r="B178" s="51"/>
      <c r="C178" s="65" t="str">
        <f>IFERROR(INDEX('[1]Balanza Egresos'!A$1:C$65536,MATCH(A178,'[1]Balanza Egresos'!A$1:A$65536,0),2),"SIN CUENTA")</f>
        <v>SIN CUENTA</v>
      </c>
      <c r="D178" s="53" t="e">
        <f>IF($P178="A",SUMIFS(D179:D$181,$A179:$A$181,LEFT($A178,$Q178)&amp;"*",$P179:$P$181,"R"),SUMIFS('[1]Balanza Egresos'!$F$1:$F$65536,'[1]Balanza Egresos'!$A$1:$A$65536,$A178))</f>
        <v>#VALUE!</v>
      </c>
      <c r="E178" s="53" t="e">
        <f>IF($P178="A",SUMIFS(E179:E$181,$A179:$A$181,LEFT($A178,$Q178)&amp;"*",$P179:$P$181,"R"),((H178/[1]Parametros!$E$12)*12)+$I178)</f>
        <v>#VALUE!</v>
      </c>
      <c r="F178" s="37">
        <f>IF($P178="A",SUMIFS(F$181:F219,$A$181:$A219,LEFT($A178,$Q178)&amp;"*",$P$181:$P219,"R"),K178+L178+M178+N178)</f>
        <v>0</v>
      </c>
      <c r="G178" s="58"/>
      <c r="H178" s="59" t="e">
        <f>IF($P178="A",SUMIFS(H179:H$181,$A179:$A$181,LEFT($A178,$Q178)&amp;"*",$P179:$P$181,"R"),SUMIFS('[1]Balanza Egresos'!$V$1:$V$65536,'[1]Balanza Egresos'!$A$1:$A$65536,$A178))</f>
        <v>#VALUE!</v>
      </c>
      <c r="I178" s="66"/>
      <c r="J178" s="39"/>
      <c r="K178" s="61">
        <f>IF($P178="A",SUMIFS(K179:K$181,$A179:$A$181,LEFT($A178,$Q178)&amp;"*",$P179:$P$181,"R"),0)</f>
        <v>0</v>
      </c>
      <c r="L178" s="61">
        <f>IF($P178="A",SUMIFS(L179:L$181,$A179:$A$181,LEFT($A178,$Q178)&amp;"*",$P179:$P$181,"R"),0)</f>
        <v>0</v>
      </c>
      <c r="M178" s="61">
        <f>IF($P178="A",SUMIFS(M179:M$181,$A179:$A$181,LEFT($A178,$Q178)&amp;"*",$P179:$P$181,"R"),0)</f>
        <v>0</v>
      </c>
      <c r="N178" s="61">
        <f>IF($P178="A",SUMIFS(N179:N$181,$A179:$A$181,LEFT($A178,$Q178)&amp;"*",$P179:$P$181,"R"),0)</f>
        <v>0</v>
      </c>
      <c r="O178" s="61">
        <f>IF($P178="A",SUMIFS(O179:O$181,$A179:$A$181,LEFT($A178,$Q178)&amp;"*",$P179:$P$181,"R"),0)</f>
        <v>0</v>
      </c>
      <c r="P178" s="41" t="str">
        <f t="shared" si="20"/>
        <v>A</v>
      </c>
      <c r="Q178" s="41">
        <f t="shared" si="21"/>
        <v>3</v>
      </c>
      <c r="R178" s="55" t="e">
        <f t="shared" si="19"/>
        <v>#VALUE!</v>
      </c>
      <c r="S178" s="56"/>
      <c r="T178" s="57"/>
      <c r="U178" s="6"/>
      <c r="V178" s="45"/>
      <c r="W178" s="46"/>
      <c r="X178" s="47"/>
      <c r="Y178" s="46"/>
      <c r="Z178" s="48"/>
      <c r="AA178" s="49"/>
      <c r="AB178" s="39"/>
      <c r="AC178" s="39"/>
      <c r="AD178" s="39"/>
      <c r="AE178" s="39"/>
      <c r="AF178" s="39"/>
      <c r="AG178" s="39"/>
    </row>
    <row r="179" spans="1:33" s="50" customFormat="1" ht="15" hidden="1" x14ac:dyDescent="0.2">
      <c r="A179" s="51" t="s">
        <v>211</v>
      </c>
      <c r="B179" s="51"/>
      <c r="C179" s="65" t="str">
        <f>IFERROR(INDEX('[1]Balanza Egresos'!A$1:C$65536,MATCH(A179,'[1]Balanza Egresos'!A$1:A$65536,0),2),"SIN CUENTA")</f>
        <v>SIN CUENTA</v>
      </c>
      <c r="D179" s="53" t="e">
        <f>IF($P179="A",SUMIFS(D180:D$181,$A180:$A$181,LEFT($A179,$Q179)&amp;"*",$P180:$P$181,"R"),SUMIFS('[1]Balanza Egresos'!$F$1:$F$65536,'[1]Balanza Egresos'!$A$1:$A$65536,$A179))</f>
        <v>#VALUE!</v>
      </c>
      <c r="E179" s="53" t="e">
        <f>IF($P179="A",SUMIFS(E180:E$181,$A180:$A$181,LEFT($A179,$Q179)&amp;"*",$P180:$P$181,"R"),((H179/[1]Parametros!$E$12)*12)+$I179)</f>
        <v>#VALUE!</v>
      </c>
      <c r="F179" s="37">
        <f>IF($P179="A",SUMIFS(F180:F$181,$A180:$A$181,LEFT($A179,$Q179)&amp;"*",$P180:$P$181,"R"),K179+L179+M179+N179+O179)</f>
        <v>0</v>
      </c>
      <c r="G179" s="58"/>
      <c r="H179" s="59" t="e">
        <f>IF($P179="A",SUMIFS(H180:H$181,$A180:$A$181,LEFT($A179,$Q179)&amp;"*",$P180:$P$181,"R"),SUMIFS('[1]Balanza Egresos'!$V$1:$V$65536,'[1]Balanza Egresos'!$A$1:$A$65536,$A179))</f>
        <v>#VALUE!</v>
      </c>
      <c r="I179" s="66"/>
      <c r="J179" s="39"/>
      <c r="K179" s="61">
        <f>IF($P179="A",SUMIFS(K180:K$181,$A180:$A$181,LEFT($A179,$Q179)&amp;"*",$P180:$P$181,"R"),0)</f>
        <v>0</v>
      </c>
      <c r="L179" s="61">
        <f>IF($P179="A",SUMIFS(L180:L$181,$A180:$A$181,LEFT($A179,$Q179)&amp;"*",$P180:$P$181,"R"),0)</f>
        <v>0</v>
      </c>
      <c r="M179" s="61">
        <f>IF($P179="A",SUMIFS(M180:M$181,$A180:$A$181,LEFT($A179,$Q179)&amp;"*",$P180:$P$181,"R"),0)</f>
        <v>0</v>
      </c>
      <c r="N179" s="61">
        <f>IF($P179="A",SUMIFS(N180:N$181,$A180:$A$181,LEFT($A179,$Q179)&amp;"*",$P180:$P$181,"R"),0)</f>
        <v>0</v>
      </c>
      <c r="O179" s="61">
        <f>IF($P179="A",SUMIFS(O180:O$181,$A180:$A$181,LEFT($A179,$Q179)&amp;"*",$P180:$P$181,"R"),0)</f>
        <v>0</v>
      </c>
      <c r="P179" s="41" t="str">
        <f t="shared" si="20"/>
        <v>R</v>
      </c>
      <c r="Q179" s="41">
        <f t="shared" si="21"/>
        <v>4</v>
      </c>
      <c r="R179" s="55" t="e">
        <f t="shared" si="19"/>
        <v>#VALUE!</v>
      </c>
      <c r="S179" s="56"/>
      <c r="T179" s="57"/>
      <c r="U179" s="6"/>
      <c r="V179" s="45"/>
      <c r="W179" s="46"/>
      <c r="X179" s="47"/>
      <c r="Y179" s="46"/>
      <c r="Z179" s="48"/>
      <c r="AA179" s="49"/>
      <c r="AB179" s="39"/>
      <c r="AC179" s="39"/>
      <c r="AD179" s="39"/>
      <c r="AE179" s="39"/>
      <c r="AF179" s="39"/>
      <c r="AG179" s="39"/>
    </row>
    <row r="180" spans="1:33" s="50" customFormat="1" ht="15" hidden="1" x14ac:dyDescent="0.2">
      <c r="A180" s="51" t="s">
        <v>212</v>
      </c>
      <c r="B180" s="51"/>
      <c r="C180" s="65" t="str">
        <f>IFERROR(INDEX('[1]Balanza Egresos'!A$1:C$65536,MATCH(A180,'[1]Balanza Egresos'!A$1:A$65536,0),2),"SIN CUENTA")</f>
        <v>SIN CUENTA</v>
      </c>
      <c r="D180" s="53" t="e">
        <f>IF($P180="A",SUMIFS(D181:D$181,$A181:$A$181,LEFT($A180,$Q180)&amp;"*",$P181:$P$181,"R"),SUMIFS('[1]Balanza Egresos'!$F$1:$F$65536,'[1]Balanza Egresos'!$A$1:$A$65536,$A180))</f>
        <v>#VALUE!</v>
      </c>
      <c r="E180" s="53" t="e">
        <f>IF($P180="A",SUMIFS(E181:E$181,$A181:$A$181,LEFT($A180,$Q180)&amp;"*",$P181:$P$181,"R"),((H180/[1]Parametros!$E$12)*12)+$I180)</f>
        <v>#VALUE!</v>
      </c>
      <c r="F180" s="37">
        <f>IF($P180="A",SUMIFS(F$181:F221,$A$181:$A221,LEFT($A180,$Q180)&amp;"*",$P$181:$P221,"R"),K180+L180+M180+N180)</f>
        <v>0</v>
      </c>
      <c r="G180" s="58"/>
      <c r="H180" s="59" t="e">
        <f>IF($P180="A",SUMIFS(H181:H$181,$A181:$A$181,LEFT($A180,$Q180)&amp;"*",$P181:$P$181,"R"),SUMIFS('[1]Balanza Egresos'!$V$1:$V$65536,'[1]Balanza Egresos'!$A$1:$A$65536,$A180))</f>
        <v>#VALUE!</v>
      </c>
      <c r="I180" s="66"/>
      <c r="J180" s="39"/>
      <c r="K180" s="61">
        <f>IF($P180="A",SUMIFS(K181:K$181,$A181:$A$181,LEFT($A180,$Q180)&amp;"*",$P181:$P$181,"R"),0)</f>
        <v>0</v>
      </c>
      <c r="L180" s="61">
        <f>IF($P180="A",SUMIFS(L181:L$181,$A181:$A$181,LEFT($A180,$Q180)&amp;"*",$P181:$P$181,"R"),0)</f>
        <v>0</v>
      </c>
      <c r="M180" s="61">
        <f>IF($P180="A",SUMIFS(M181:M$181,$A181:$A$181,LEFT($A180,$Q180)&amp;"*",$P181:$P$181,"R"),0)</f>
        <v>0</v>
      </c>
      <c r="N180" s="61">
        <f>IF($P180="A",SUMIFS(N181:N$181,$A181:$A$181,LEFT($A180,$Q180)&amp;"*",$P181:$P$181,"R"),0)</f>
        <v>0</v>
      </c>
      <c r="O180" s="61">
        <f>IF($P180="A",SUMIFS(O181:O$181,$A181:$A$181,LEFT($A180,$Q180)&amp;"*",$P181:$P$181,"R"),0)</f>
        <v>0</v>
      </c>
      <c r="P180" s="41" t="str">
        <f t="shared" si="20"/>
        <v>A</v>
      </c>
      <c r="Q180" s="41">
        <f t="shared" si="21"/>
        <v>3</v>
      </c>
      <c r="R180" s="55" t="e">
        <f t="shared" si="19"/>
        <v>#VALUE!</v>
      </c>
      <c r="S180" s="56"/>
      <c r="T180" s="57"/>
      <c r="U180" s="6"/>
      <c r="V180" s="45"/>
      <c r="W180" s="46"/>
      <c r="X180" s="47"/>
      <c r="Y180" s="46"/>
      <c r="Z180" s="48"/>
      <c r="AA180" s="49"/>
      <c r="AB180" s="39"/>
      <c r="AC180" s="39"/>
      <c r="AD180" s="39"/>
      <c r="AE180" s="39"/>
      <c r="AF180" s="39"/>
      <c r="AG180" s="39"/>
    </row>
    <row r="181" spans="1:33" s="50" customFormat="1" ht="15" hidden="1" x14ac:dyDescent="0.2">
      <c r="A181" s="51" t="s">
        <v>213</v>
      </c>
      <c r="B181" s="51"/>
      <c r="C181" s="65" t="str">
        <f>IFERROR(INDEX('[1]Balanza Egresos'!A$1:C$65536,MATCH(A181,'[1]Balanza Egresos'!A$1:A$65536,0),2),"SIN CUENTA")</f>
        <v>SIN CUENTA</v>
      </c>
      <c r="D181" s="53" t="e">
        <f>IF($P181="A",SUMIFS(D$181:D182,$A$181:$A182,LEFT($A181,$Q181)&amp;"*",$P$181:$P182,"R"),SUMIFS('[1]Balanza Egresos'!$F$1:$F$65536,'[1]Balanza Egresos'!$A$1:$A$65536,$A181))</f>
        <v>#VALUE!</v>
      </c>
      <c r="E181" s="53" t="e">
        <f>IF($P181="A",SUMIFS(E$181:E182,$A$181:$A182,LEFT($A181,$Q181)&amp;"*",$P$181:$P182,"R"),((H181/[1]Parametros!$E$12)*12)+$I181)</f>
        <v>#VALUE!</v>
      </c>
      <c r="F181" s="37">
        <f>IF($P181="A",SUMIFS(F$181:F182,$A$181:$A182,LEFT($A181,$Q181)&amp;"*",$P$181:$P182,"R"),K181+L181+M181+N181+O181)</f>
        <v>0</v>
      </c>
      <c r="G181" s="58"/>
      <c r="H181" s="59" t="e">
        <f>IF($P181="A",SUMIFS(H$181:H182,$A$181:$A182,LEFT($A181,$Q181)&amp;"*",$P$181:$P182,"R"),SUMIFS('[1]Balanza Egresos'!$V$1:$V$65536,'[1]Balanza Egresos'!$A$1:$A$65536,$A181))</f>
        <v>#VALUE!</v>
      </c>
      <c r="I181" s="66"/>
      <c r="J181" s="39"/>
      <c r="K181" s="61">
        <f>IF($P181="A",SUMIFS(K$181:K182,$A$181:$A182,LEFT($A181,$Q181)&amp;"*",$P$181:$P182,"R"),0)</f>
        <v>0</v>
      </c>
      <c r="L181" s="61">
        <f>IF($P181="A",SUMIFS(L$181:L182,$A$181:$A182,LEFT($A181,$Q181)&amp;"*",$P$181:$P182,"R"),0)</f>
        <v>0</v>
      </c>
      <c r="M181" s="61">
        <f>IF($P181="A",SUMIFS(M$181:M182,$A$181:$A182,LEFT($A181,$Q181)&amp;"*",$P$181:$P182,"R"),0)</f>
        <v>0</v>
      </c>
      <c r="N181" s="61">
        <f>IF($P181="A",SUMIFS(N$181:N182,$A$181:$A182,LEFT($A181,$Q181)&amp;"*",$P$181:$P182,"R"),0)</f>
        <v>0</v>
      </c>
      <c r="O181" s="61">
        <f>IF($P181="A",SUMIFS(O$181:O182,$A$181:$A182,LEFT($A181,$Q181)&amp;"*",$P$181:$P182,"R"),0)</f>
        <v>0</v>
      </c>
      <c r="P181" s="41" t="str">
        <f t="shared" si="20"/>
        <v>R</v>
      </c>
      <c r="Q181" s="41">
        <f t="shared" si="21"/>
        <v>4</v>
      </c>
      <c r="R181" s="55" t="e">
        <f t="shared" si="19"/>
        <v>#VALUE!</v>
      </c>
      <c r="S181" s="56"/>
      <c r="T181" s="57"/>
      <c r="U181" s="6"/>
      <c r="V181" s="45"/>
      <c r="W181" s="46"/>
      <c r="X181" s="47"/>
      <c r="Y181" s="46"/>
      <c r="Z181" s="48"/>
      <c r="AA181" s="49"/>
      <c r="AB181" s="39"/>
      <c r="AC181" s="39"/>
      <c r="AD181" s="39"/>
      <c r="AE181" s="39"/>
      <c r="AF181" s="39"/>
      <c r="AG181" s="39"/>
    </row>
    <row r="182" spans="1:33" ht="15" x14ac:dyDescent="0.2">
      <c r="A182" s="6"/>
      <c r="B182" s="24"/>
      <c r="C182" s="67" t="s">
        <v>214</v>
      </c>
      <c r="D182" s="68" t="e">
        <f>SUMIF($Q$10:$Q$130,1,D$10:D$130)</f>
        <v>#VALUE!</v>
      </c>
      <c r="E182" s="68" t="e">
        <f>E131+E10</f>
        <v>#VALUE!</v>
      </c>
      <c r="F182" s="68">
        <f>SUMIF($Q$10:$Q$130,1,F$10:F$181)</f>
        <v>6285000</v>
      </c>
      <c r="G182" s="69"/>
      <c r="H182" s="68" t="e">
        <f>SUMIF($Q$10:$Q$130,1,H$10:H$130)</f>
        <v>#VALUE!</v>
      </c>
      <c r="I182" s="68"/>
      <c r="J182" s="6"/>
      <c r="K182" s="70">
        <f>SUMIF($Q$10:$Q$130,1,K$10:K$130)</f>
        <v>515000</v>
      </c>
      <c r="L182" s="70">
        <f>SUMIF($Q$10:$Q$130,1,L$10:L$130)</f>
        <v>30000</v>
      </c>
      <c r="M182" s="70">
        <f>SUMIF($Q$10:$Q$130,1,M$10:M$130)</f>
        <v>2500000</v>
      </c>
      <c r="N182" s="70">
        <f>SUMIF($Q$10:$Q$130,1,N$10:N$130)</f>
        <v>3170000</v>
      </c>
      <c r="O182" s="70">
        <f>SUMIF($Q$10:$Q$130,1,O$10:O$130)</f>
        <v>70000</v>
      </c>
      <c r="P182" s="71"/>
      <c r="Q182" s="71"/>
      <c r="R182" s="55" t="e">
        <f>IF(ABS(D182+E182+F182+H182)&gt;0,"SI","NO")</f>
        <v>#VALUE!</v>
      </c>
      <c r="S182" s="55"/>
      <c r="T182" s="55"/>
      <c r="U182" s="6"/>
      <c r="V182" s="72" t="e">
        <f>D182-E182</f>
        <v>#VALUE!</v>
      </c>
      <c r="W182" s="73" t="e">
        <f>IF(D182=0,0,V182/D182)</f>
        <v>#VALUE!</v>
      </c>
      <c r="X182" s="72" t="e">
        <f>F182-D182</f>
        <v>#VALUE!</v>
      </c>
      <c r="Y182" s="73" t="e">
        <f>IF(D182=0,0,X182/D182)</f>
        <v>#VALUE!</v>
      </c>
      <c r="Z182" s="74" t="e">
        <f>+F182-E182</f>
        <v>#VALUE!</v>
      </c>
      <c r="AA182" s="73" t="e">
        <f>IF(E182=0,0,Z182/E182)</f>
        <v>#VALUE!</v>
      </c>
      <c r="AB182" s="6"/>
      <c r="AC182" s="6"/>
      <c r="AD182" s="6"/>
      <c r="AE182" s="6"/>
      <c r="AF182" s="6"/>
      <c r="AG182" s="6"/>
    </row>
    <row r="183" spans="1:33" x14ac:dyDescent="0.2">
      <c r="A183" s="6"/>
      <c r="B183" s="24"/>
      <c r="C183" s="6"/>
      <c r="D183" s="75"/>
      <c r="E183" s="75"/>
      <c r="F183" s="75"/>
      <c r="G183" s="6"/>
      <c r="H183" s="75"/>
      <c r="I183" s="75"/>
      <c r="J183" s="2"/>
      <c r="K183" s="7"/>
      <c r="L183" s="7"/>
      <c r="M183" s="7"/>
      <c r="N183" s="7"/>
      <c r="O183" s="7"/>
      <c r="P183" s="76" t="s">
        <v>215</v>
      </c>
      <c r="Q183" s="76"/>
      <c r="R183" s="77"/>
      <c r="S183" s="77"/>
      <c r="T183" s="77"/>
      <c r="U183" s="77"/>
      <c r="V183" s="7"/>
      <c r="W183" s="6"/>
      <c r="X183" s="7"/>
      <c r="Y183" s="6"/>
      <c r="Z183" s="7"/>
      <c r="AA183" s="6"/>
      <c r="AB183" s="6"/>
      <c r="AC183" s="6"/>
      <c r="AD183" s="6"/>
      <c r="AE183" s="6"/>
      <c r="AF183" s="6"/>
      <c r="AG183" s="6"/>
    </row>
    <row r="184" spans="1:33" ht="12.75" customHeight="1" x14ac:dyDescent="0.2">
      <c r="A184" s="6"/>
      <c r="B184" s="24"/>
      <c r="C184" s="78" t="s">
        <v>217</v>
      </c>
      <c r="D184" s="75"/>
      <c r="E184" s="75"/>
      <c r="F184" s="75"/>
      <c r="G184" s="6"/>
      <c r="H184" s="79"/>
      <c r="I184" s="79"/>
      <c r="J184" s="2"/>
      <c r="K184" s="7"/>
      <c r="L184" s="7"/>
      <c r="M184" s="7"/>
      <c r="N184" s="7"/>
      <c r="O184" s="7"/>
      <c r="P184" s="80"/>
      <c r="Q184" s="80"/>
      <c r="R184" s="79"/>
      <c r="S184" s="80"/>
      <c r="T184" s="80"/>
      <c r="U184" s="6"/>
      <c r="V184" s="7"/>
      <c r="W184" s="6"/>
      <c r="X184" s="7"/>
      <c r="Y184" s="6"/>
      <c r="Z184" s="7"/>
      <c r="AA184" s="6"/>
      <c r="AB184" s="6"/>
      <c r="AC184" s="6"/>
      <c r="AD184" s="6"/>
      <c r="AE184" s="6"/>
      <c r="AF184" s="6"/>
      <c r="AG184" s="6"/>
    </row>
    <row r="185" spans="1:33" ht="15" x14ac:dyDescent="0.2">
      <c r="A185" s="6"/>
      <c r="B185" s="24"/>
      <c r="C185" s="81"/>
      <c r="D185" s="82"/>
      <c r="E185" s="82"/>
      <c r="F185" s="83"/>
      <c r="G185" s="84"/>
      <c r="H185" s="115"/>
      <c r="I185" s="115"/>
      <c r="J185" s="2"/>
      <c r="K185" s="7"/>
      <c r="L185" s="7"/>
      <c r="M185" s="7"/>
      <c r="N185" s="7"/>
      <c r="O185" s="7"/>
      <c r="P185" s="80"/>
      <c r="Q185" s="80"/>
      <c r="R185" s="79"/>
      <c r="S185" s="80"/>
      <c r="T185" s="80"/>
      <c r="U185" s="6"/>
      <c r="V185" s="7" t="str">
        <f>CONCATENATE("SU PRESUPUESTO ",F9, " EXCEDE EN ")</f>
        <v xml:space="preserve">SU PRESUPUESTO 2023 EXCEDE EN </v>
      </c>
      <c r="W185" s="6"/>
      <c r="X185" s="7"/>
      <c r="Y185" s="6"/>
      <c r="Z185" s="7"/>
      <c r="AA185" s="6"/>
      <c r="AB185" s="6"/>
      <c r="AC185" s="6"/>
      <c r="AD185" s="6"/>
      <c r="AE185" s="6"/>
      <c r="AF185" s="6"/>
      <c r="AG185" s="6"/>
    </row>
    <row r="186" spans="1:33" ht="13.5" customHeight="1" x14ac:dyDescent="0.2">
      <c r="A186" s="6"/>
      <c r="B186" s="24"/>
      <c r="C186" s="81"/>
      <c r="D186" s="85"/>
      <c r="E186" s="86"/>
      <c r="F186" s="85"/>
      <c r="G186" s="84"/>
      <c r="H186" s="115"/>
      <c r="I186" s="115"/>
      <c r="J186" s="2"/>
      <c r="K186" s="7"/>
      <c r="L186" s="7"/>
      <c r="M186" s="7"/>
      <c r="N186" s="7"/>
      <c r="O186" s="7"/>
      <c r="P186" s="80"/>
      <c r="Q186" s="80"/>
      <c r="R186" s="79"/>
      <c r="S186" s="80"/>
      <c r="T186" s="80"/>
      <c r="U186" s="6"/>
      <c r="V186" s="7" t="s">
        <v>216</v>
      </c>
      <c r="W186" s="6"/>
      <c r="X186" s="7"/>
      <c r="Y186" s="6"/>
      <c r="Z186" s="7"/>
      <c r="AA186" s="6"/>
    </row>
    <row r="187" spans="1:33" x14ac:dyDescent="0.2">
      <c r="A187" s="6"/>
      <c r="B187" s="24"/>
      <c r="C187" s="6"/>
      <c r="D187" s="85"/>
      <c r="E187" s="85"/>
      <c r="F187" s="85"/>
      <c r="G187" s="6"/>
      <c r="H187" s="115"/>
      <c r="I187" s="115"/>
      <c r="J187" s="2"/>
      <c r="K187" s="7"/>
      <c r="L187" s="7"/>
      <c r="M187" s="7"/>
      <c r="N187" s="7"/>
      <c r="O187" s="7"/>
      <c r="P187" s="80"/>
      <c r="Q187" s="80"/>
      <c r="R187" s="79"/>
      <c r="S187" s="80"/>
      <c r="T187" s="80"/>
      <c r="U187" s="6"/>
      <c r="V187" s="7"/>
      <c r="W187" s="6"/>
      <c r="X187" s="7"/>
      <c r="Y187" s="6"/>
      <c r="Z187" s="7"/>
      <c r="AA187" s="6"/>
    </row>
    <row r="188" spans="1:33" x14ac:dyDescent="0.2">
      <c r="A188" s="6"/>
      <c r="B188" s="24"/>
      <c r="C188" s="6"/>
      <c r="D188" s="85"/>
      <c r="E188" s="85"/>
      <c r="F188" s="85"/>
      <c r="G188" s="77"/>
      <c r="H188" s="75"/>
      <c r="I188" s="75"/>
      <c r="J188" s="2"/>
      <c r="K188" s="7"/>
      <c r="L188" s="7"/>
      <c r="M188" s="7"/>
      <c r="N188" s="7"/>
      <c r="O188" s="7"/>
      <c r="P188" s="20"/>
      <c r="Q188" s="20"/>
      <c r="R188" s="6"/>
      <c r="S188" s="6"/>
      <c r="T188" s="6"/>
      <c r="U188" s="6"/>
      <c r="V188" s="7"/>
      <c r="W188" s="6"/>
      <c r="X188" s="7"/>
      <c r="Y188" s="6"/>
      <c r="Z188" s="7"/>
      <c r="AA188" s="6"/>
    </row>
    <row r="189" spans="1:33" x14ac:dyDescent="0.2">
      <c r="A189" s="6"/>
      <c r="B189" s="24"/>
      <c r="C189" s="6"/>
      <c r="D189" s="85"/>
      <c r="E189" s="85"/>
      <c r="F189" s="85"/>
      <c r="G189" s="6"/>
      <c r="H189" s="75"/>
      <c r="I189" s="75"/>
      <c r="J189" s="2"/>
      <c r="K189" s="7"/>
      <c r="L189" s="7"/>
      <c r="M189" s="7"/>
      <c r="N189" s="7"/>
      <c r="O189" s="7"/>
      <c r="P189" s="20"/>
      <c r="Q189" s="20"/>
      <c r="R189" s="6"/>
      <c r="S189" s="6"/>
      <c r="T189" s="6"/>
      <c r="U189" s="6"/>
      <c r="V189" s="7"/>
      <c r="W189" s="6"/>
      <c r="X189" s="7"/>
      <c r="Y189" s="6"/>
      <c r="Z189" s="7"/>
      <c r="AA189" s="6"/>
    </row>
    <row r="190" spans="1:33" x14ac:dyDescent="0.2">
      <c r="A190" s="6"/>
      <c r="B190" s="24"/>
      <c r="C190" s="118" t="s">
        <v>218</v>
      </c>
      <c r="D190" s="119"/>
      <c r="E190" s="119"/>
      <c r="G190" s="118" t="s">
        <v>219</v>
      </c>
      <c r="H190" s="75"/>
      <c r="I190" s="75"/>
      <c r="J190" s="2"/>
      <c r="K190" s="7"/>
      <c r="L190" s="7"/>
      <c r="M190" s="7"/>
      <c r="N190" s="7"/>
      <c r="O190" s="7"/>
      <c r="P190" s="20"/>
      <c r="Q190" s="20"/>
      <c r="R190" s="6" t="s">
        <v>215</v>
      </c>
      <c r="S190" s="6"/>
      <c r="T190" s="6"/>
      <c r="U190" s="6"/>
      <c r="V190" s="7"/>
      <c r="W190" s="6"/>
      <c r="X190" s="7"/>
      <c r="Y190" s="6"/>
      <c r="Z190" s="7"/>
      <c r="AA190" s="6"/>
    </row>
    <row r="191" spans="1:33" x14ac:dyDescent="0.2">
      <c r="A191" s="6"/>
      <c r="B191" s="24"/>
      <c r="C191" s="118" t="s">
        <v>220</v>
      </c>
      <c r="D191" s="119"/>
      <c r="E191" s="119"/>
      <c r="G191" s="118" t="s">
        <v>221</v>
      </c>
      <c r="H191" s="75"/>
      <c r="I191" s="75"/>
      <c r="J191" s="2"/>
      <c r="K191" s="77"/>
      <c r="L191" s="7"/>
      <c r="M191" s="7"/>
      <c r="N191" s="7"/>
      <c r="O191" s="7"/>
      <c r="P191" s="55"/>
      <c r="Q191" s="55"/>
      <c r="R191" s="77"/>
      <c r="S191" s="77"/>
      <c r="T191" s="77"/>
      <c r="U191" s="6"/>
      <c r="V191" s="7"/>
      <c r="W191" s="6"/>
      <c r="X191" s="7"/>
      <c r="Y191" s="6"/>
      <c r="Z191" s="7"/>
      <c r="AA191" s="6"/>
    </row>
    <row r="192" spans="1:33" x14ac:dyDescent="0.2">
      <c r="A192" s="6"/>
      <c r="B192" s="24"/>
      <c r="C192" s="6"/>
      <c r="D192" s="75"/>
      <c r="E192" s="87"/>
      <c r="F192" s="88"/>
      <c r="G192" s="77"/>
      <c r="H192" s="75"/>
      <c r="I192" s="75"/>
      <c r="J192" s="2"/>
      <c r="K192" s="7"/>
      <c r="L192" s="7"/>
      <c r="M192" s="7"/>
      <c r="N192" s="7"/>
      <c r="O192" s="7"/>
      <c r="P192" s="20"/>
      <c r="Q192" s="20"/>
      <c r="R192" s="6"/>
      <c r="S192" s="6"/>
      <c r="T192" s="6"/>
      <c r="U192" s="6"/>
      <c r="V192" s="7"/>
      <c r="W192" s="6"/>
      <c r="X192" s="7"/>
      <c r="Y192" s="6"/>
      <c r="Z192" s="7"/>
      <c r="AA192" s="6"/>
    </row>
    <row r="193" spans="1:27" x14ac:dyDescent="0.2">
      <c r="A193" s="6"/>
      <c r="B193" s="24"/>
      <c r="C193" s="6"/>
      <c r="D193" s="75"/>
      <c r="E193" s="75"/>
      <c r="F193" s="88"/>
      <c r="G193" s="6"/>
      <c r="H193" s="75"/>
      <c r="I193" s="75"/>
      <c r="J193" s="2"/>
      <c r="K193" s="7"/>
      <c r="L193" s="7"/>
      <c r="M193" s="7"/>
      <c r="N193" s="7"/>
      <c r="O193" s="7"/>
      <c r="P193" s="20"/>
      <c r="Q193" s="20"/>
      <c r="R193" s="6"/>
      <c r="S193" s="6"/>
      <c r="T193" s="6"/>
      <c r="U193" s="6"/>
      <c r="V193" s="7"/>
      <c r="W193" s="6"/>
      <c r="X193" s="7"/>
      <c r="Y193" s="6"/>
      <c r="Z193" s="7"/>
      <c r="AA193" s="6"/>
    </row>
    <row r="194" spans="1:27" x14ac:dyDescent="0.2">
      <c r="A194" s="6"/>
      <c r="B194" s="24"/>
      <c r="C194" s="6"/>
      <c r="D194" s="75"/>
      <c r="E194" s="75"/>
      <c r="F194" s="88"/>
      <c r="G194" s="6"/>
      <c r="H194" s="75"/>
      <c r="I194" s="75"/>
      <c r="J194" s="2"/>
      <c r="K194" s="7"/>
      <c r="L194" s="7"/>
      <c r="M194" s="7"/>
      <c r="N194" s="7"/>
      <c r="O194" s="7"/>
      <c r="P194" s="20"/>
      <c r="Q194" s="20"/>
      <c r="R194" s="6"/>
      <c r="S194" s="6"/>
      <c r="T194" s="6"/>
      <c r="U194" s="6"/>
      <c r="V194" s="7"/>
      <c r="W194" s="6"/>
      <c r="X194" s="7"/>
      <c r="Y194" s="6"/>
      <c r="Z194" s="7"/>
      <c r="AA194" s="6"/>
    </row>
    <row r="195" spans="1:27" x14ac:dyDescent="0.2">
      <c r="A195" s="6"/>
      <c r="B195" s="24"/>
      <c r="C195" s="6"/>
      <c r="D195" s="75"/>
      <c r="E195" s="75"/>
      <c r="F195" s="88"/>
      <c r="G195" s="6"/>
      <c r="H195" s="75"/>
      <c r="I195" s="75"/>
      <c r="J195" s="2"/>
      <c r="K195" s="7"/>
      <c r="L195" s="7"/>
      <c r="M195" s="7"/>
      <c r="N195" s="7"/>
      <c r="O195" s="7"/>
      <c r="P195" s="20"/>
      <c r="Q195" s="20"/>
      <c r="R195" s="6"/>
      <c r="S195" s="6"/>
      <c r="T195" s="6"/>
      <c r="U195" s="6"/>
      <c r="V195" s="7"/>
      <c r="W195" s="6"/>
      <c r="X195" s="7"/>
      <c r="Y195" s="6"/>
      <c r="Z195" s="7"/>
      <c r="AA195" s="6"/>
    </row>
    <row r="196" spans="1:27" x14ac:dyDescent="0.2">
      <c r="A196" s="6"/>
      <c r="B196" s="24"/>
      <c r="C196" s="6"/>
      <c r="D196" s="75"/>
      <c r="E196" s="75"/>
      <c r="F196" s="75"/>
      <c r="G196" s="6"/>
      <c r="H196" s="75"/>
      <c r="I196" s="75"/>
      <c r="J196" s="2"/>
      <c r="K196" s="7"/>
      <c r="L196" s="7"/>
      <c r="M196" s="7"/>
      <c r="N196" s="7"/>
      <c r="O196" s="7"/>
      <c r="P196" s="20"/>
      <c r="Q196" s="20"/>
      <c r="R196" s="6"/>
      <c r="S196" s="6"/>
      <c r="T196" s="6"/>
      <c r="U196" s="6"/>
      <c r="V196" s="7"/>
      <c r="W196" s="6"/>
      <c r="X196" s="7"/>
      <c r="Y196" s="6"/>
      <c r="Z196" s="7"/>
      <c r="AA196" s="6"/>
    </row>
  </sheetData>
  <sheetProtection formatCells="0" formatColumns="0" formatRows="0" insertRows="0" autoFilter="0"/>
  <autoFilter ref="A9:BT182">
    <filterColumn colId="17">
      <filters>
        <filter val="SI"/>
      </filters>
    </filterColumn>
  </autoFilter>
  <mergeCells count="23">
    <mergeCell ref="H185:I187"/>
    <mergeCell ref="R8:R9"/>
    <mergeCell ref="S8:S9"/>
    <mergeCell ref="T8:T9"/>
    <mergeCell ref="V8:W8"/>
    <mergeCell ref="X8:Y8"/>
    <mergeCell ref="Z8:AA8"/>
    <mergeCell ref="Q7:T7"/>
    <mergeCell ref="A8:A9"/>
    <mergeCell ref="B8:B9"/>
    <mergeCell ref="C8:C9"/>
    <mergeCell ref="G8:G9"/>
    <mergeCell ref="H8:H9"/>
    <mergeCell ref="I8:I9"/>
    <mergeCell ref="K8:N8"/>
    <mergeCell ref="P8:P9"/>
    <mergeCell ref="Q8:Q9"/>
    <mergeCell ref="A6:F6"/>
    <mergeCell ref="A1:G1"/>
    <mergeCell ref="A2:G2"/>
    <mergeCell ref="A3:G3"/>
    <mergeCell ref="K4:O4"/>
    <mergeCell ref="A5:G5"/>
  </mergeCells>
  <conditionalFormatting sqref="V1:AA9 V182:AA65536">
    <cfRule type="cellIs" dxfId="39" priority="40" stopIfTrue="1" operator="lessThan">
      <formula>0</formula>
    </cfRule>
  </conditionalFormatting>
  <conditionalFormatting sqref="V10:AA18 V27:AA27 V77:AA78 V80:AA80 V82:AA83 V74:AA75 V71:AA71 V90:AA96">
    <cfRule type="cellIs" dxfId="38" priority="39" stopIfTrue="1" operator="lessThan">
      <formula>0</formula>
    </cfRule>
  </conditionalFormatting>
  <conditionalFormatting sqref="V19:AA22">
    <cfRule type="cellIs" dxfId="37" priority="38" stopIfTrue="1" operator="lessThan">
      <formula>0</formula>
    </cfRule>
  </conditionalFormatting>
  <conditionalFormatting sqref="V23:AA26">
    <cfRule type="cellIs" dxfId="36" priority="37" stopIfTrue="1" operator="lessThan">
      <formula>0</formula>
    </cfRule>
  </conditionalFormatting>
  <conditionalFormatting sqref="V28:AA31">
    <cfRule type="cellIs" dxfId="35" priority="36" stopIfTrue="1" operator="lessThan">
      <formula>0</formula>
    </cfRule>
  </conditionalFormatting>
  <conditionalFormatting sqref="V32:AA33">
    <cfRule type="cellIs" dxfId="34" priority="35" stopIfTrue="1" operator="lessThan">
      <formula>0</formula>
    </cfRule>
  </conditionalFormatting>
  <conditionalFormatting sqref="V34:AA37">
    <cfRule type="cellIs" dxfId="33" priority="34" stopIfTrue="1" operator="lessThan">
      <formula>0</formula>
    </cfRule>
  </conditionalFormatting>
  <conditionalFormatting sqref="V38:AA38">
    <cfRule type="cellIs" dxfId="32" priority="33" stopIfTrue="1" operator="lessThan">
      <formula>0</formula>
    </cfRule>
  </conditionalFormatting>
  <conditionalFormatting sqref="V76:AA76">
    <cfRule type="cellIs" dxfId="31" priority="32" stopIfTrue="1" operator="lessThan">
      <formula>0</formula>
    </cfRule>
  </conditionalFormatting>
  <conditionalFormatting sqref="V79:AA79">
    <cfRule type="cellIs" dxfId="30" priority="31" stopIfTrue="1" operator="lessThan">
      <formula>0</formula>
    </cfRule>
  </conditionalFormatting>
  <conditionalFormatting sqref="V81:AA81">
    <cfRule type="cellIs" dxfId="29" priority="30" stopIfTrue="1" operator="lessThan">
      <formula>0</formula>
    </cfRule>
  </conditionalFormatting>
  <conditionalFormatting sqref="V84:AA84">
    <cfRule type="cellIs" dxfId="28" priority="29" stopIfTrue="1" operator="lessThan">
      <formula>0</formula>
    </cfRule>
  </conditionalFormatting>
  <conditionalFormatting sqref="V85:AA88">
    <cfRule type="cellIs" dxfId="27" priority="28" stopIfTrue="1" operator="lessThan">
      <formula>0</formula>
    </cfRule>
  </conditionalFormatting>
  <conditionalFormatting sqref="V97:AA97">
    <cfRule type="cellIs" dxfId="26" priority="27" stopIfTrue="1" operator="lessThan">
      <formula>0</formula>
    </cfRule>
  </conditionalFormatting>
  <conditionalFormatting sqref="V39:AA45">
    <cfRule type="cellIs" dxfId="25" priority="26" stopIfTrue="1" operator="lessThan">
      <formula>0</formula>
    </cfRule>
  </conditionalFormatting>
  <conditionalFormatting sqref="V46:AA46">
    <cfRule type="cellIs" dxfId="24" priority="25" stopIfTrue="1" operator="lessThan">
      <formula>0</formula>
    </cfRule>
  </conditionalFormatting>
  <conditionalFormatting sqref="V72:AA73">
    <cfRule type="cellIs" dxfId="23" priority="24" stopIfTrue="1" operator="lessThan">
      <formula>0</formula>
    </cfRule>
  </conditionalFormatting>
  <conditionalFormatting sqref="V89:AA89">
    <cfRule type="cellIs" dxfId="22" priority="23" stopIfTrue="1" operator="lessThan">
      <formula>0</formula>
    </cfRule>
  </conditionalFormatting>
  <conditionalFormatting sqref="V47:AA49">
    <cfRule type="cellIs" dxfId="21" priority="22" stopIfTrue="1" operator="lessThan">
      <formula>0</formula>
    </cfRule>
  </conditionalFormatting>
  <conditionalFormatting sqref="V50:AA50">
    <cfRule type="cellIs" dxfId="20" priority="21" stopIfTrue="1" operator="lessThan">
      <formula>0</formula>
    </cfRule>
  </conditionalFormatting>
  <conditionalFormatting sqref="V103:AA104">
    <cfRule type="cellIs" dxfId="19" priority="20" stopIfTrue="1" operator="lessThan">
      <formula>0</formula>
    </cfRule>
  </conditionalFormatting>
  <conditionalFormatting sqref="V106:AA107">
    <cfRule type="cellIs" dxfId="18" priority="19" stopIfTrue="1" operator="lessThan">
      <formula>0</formula>
    </cfRule>
  </conditionalFormatting>
  <conditionalFormatting sqref="V102:AA102">
    <cfRule type="cellIs" dxfId="17" priority="18" stopIfTrue="1" operator="lessThan">
      <formula>0</formula>
    </cfRule>
  </conditionalFormatting>
  <conditionalFormatting sqref="V105:AA105">
    <cfRule type="cellIs" dxfId="16" priority="17" stopIfTrue="1" operator="lessThan">
      <formula>0</formula>
    </cfRule>
  </conditionalFormatting>
  <conditionalFormatting sqref="V99:AA101">
    <cfRule type="cellIs" dxfId="15" priority="16" stopIfTrue="1" operator="lessThan">
      <formula>0</formula>
    </cfRule>
  </conditionalFormatting>
  <conditionalFormatting sqref="V98:AA98">
    <cfRule type="cellIs" dxfId="14" priority="15" stopIfTrue="1" operator="lessThan">
      <formula>0</formula>
    </cfRule>
  </conditionalFormatting>
  <conditionalFormatting sqref="V108:AA108">
    <cfRule type="cellIs" dxfId="13" priority="14" stopIfTrue="1" operator="lessThan">
      <formula>0</formula>
    </cfRule>
  </conditionalFormatting>
  <conditionalFormatting sqref="V51:AA51">
    <cfRule type="cellIs" dxfId="12" priority="12" stopIfTrue="1" operator="lessThan">
      <formula>0</formula>
    </cfRule>
  </conditionalFormatting>
  <conditionalFormatting sqref="V52:AA61">
    <cfRule type="cellIs" dxfId="11" priority="13" stopIfTrue="1" operator="lessThan">
      <formula>0</formula>
    </cfRule>
  </conditionalFormatting>
  <conditionalFormatting sqref="V62:AA62">
    <cfRule type="cellIs" dxfId="10" priority="10" stopIfTrue="1" operator="lessThan">
      <formula>0</formula>
    </cfRule>
  </conditionalFormatting>
  <conditionalFormatting sqref="V63:AA70">
    <cfRule type="cellIs" dxfId="9" priority="11" stopIfTrue="1" operator="lessThan">
      <formula>0</formula>
    </cfRule>
  </conditionalFormatting>
  <conditionalFormatting sqref="V109:AA181">
    <cfRule type="cellIs" dxfId="8" priority="9" stopIfTrue="1" operator="lessThan">
      <formula>0</formula>
    </cfRule>
  </conditionalFormatting>
  <conditionalFormatting sqref="A10:F181">
    <cfRule type="expression" dxfId="7" priority="8" stopIfTrue="1">
      <formula>$P10="A"</formula>
    </cfRule>
  </conditionalFormatting>
  <conditionalFormatting sqref="C10:F181">
    <cfRule type="expression" dxfId="6" priority="7" stopIfTrue="1">
      <formula>$P10="R"</formula>
    </cfRule>
  </conditionalFormatting>
  <conditionalFormatting sqref="H10:I181">
    <cfRule type="expression" dxfId="5" priority="5" stopIfTrue="1">
      <formula>$P10="A"</formula>
    </cfRule>
    <cfRule type="expression" dxfId="4" priority="6" stopIfTrue="1">
      <formula>$P10="R"</formula>
    </cfRule>
  </conditionalFormatting>
  <conditionalFormatting sqref="K10:N181">
    <cfRule type="expression" dxfId="3" priority="3" stopIfTrue="1">
      <formula>$P10="A"</formula>
    </cfRule>
    <cfRule type="expression" dxfId="2" priority="4" stopIfTrue="1">
      <formula>$P10="R"</formula>
    </cfRule>
  </conditionalFormatting>
  <conditionalFormatting sqref="O10:O181">
    <cfRule type="expression" dxfId="1" priority="1" stopIfTrue="1">
      <formula>$P10="A"</formula>
    </cfRule>
    <cfRule type="expression" dxfId="0" priority="2" stopIfTrue="1">
      <formula>$P10="R"</formula>
    </cfRule>
  </conditionalFormatting>
  <printOptions horizontalCentered="1"/>
  <pageMargins left="0.31496062992125984" right="0.31496062992125984" top="0.35433070866141736" bottom="0.55118110236220474" header="0.31496062992125984" footer="0.31496062992125984"/>
  <pageSetup scale="61" orientation="landscape" r:id="rId1"/>
  <headerFooter>
    <oddFooter>&amp;LJMAS NCG&amp;R&amp;P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Inversiones</vt:lpstr>
      <vt:lpstr>Inversiones!Área_de_impresión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jose_luis</dc:creator>
  <cp:lastModifiedBy>jose_luis</cp:lastModifiedBy>
  <cp:lastPrinted>2024-02-06T16:03:38Z</cp:lastPrinted>
  <dcterms:created xsi:type="dcterms:W3CDTF">2023-04-21T18:00:34Z</dcterms:created>
  <dcterms:modified xsi:type="dcterms:W3CDTF">2024-02-06T16:03:43Z</dcterms:modified>
</cp:coreProperties>
</file>