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Informacion Disciplina Financiera\"/>
    </mc:Choice>
  </mc:AlternateContent>
  <xr:revisionPtr revIDLastSave="0" documentId="8_{2728ADD7-B0FA-4C4A-859C-B1FD8C0E4A17}" xr6:coauthVersionLast="36" xr6:coauthVersionMax="36" xr10:uidLastSave="{00000000-0000-0000-0000-000000000000}"/>
  <bookViews>
    <workbookView xWindow="0" yWindow="0" windowWidth="28800" windowHeight="11925" xr2:uid="{1ED1FEE0-FA70-4DFB-BDAC-C0A2C4EF9B57}"/>
  </bookViews>
  <sheets>
    <sheet name="41.EAEPED (COG)(LDF5)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'41.EAEPED (COG)(LDF5) '!$A$8:$J$158</definedName>
    <definedName name="_xlnm.Print_Area" localSheetId="0">'41.EAEPED (COG)(LDF5) '!$C$2:$I$171</definedName>
    <definedName name="conta">[2]datos!$A$1</definedName>
    <definedName name="registro" localSheetId="0">'[3]Hoja 1'!#REF!</definedName>
    <definedName name="registro">'[3]Hoja 1'!#REF!</definedName>
    <definedName name="_xlnm.Print_Titles" localSheetId="0">'41.EAEPED (COG)(LDF5) '!$2:$8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0" i="1" l="1"/>
  <c r="K175" i="1"/>
  <c r="K174" i="1"/>
  <c r="K173" i="1"/>
  <c r="K176" i="1" s="1"/>
  <c r="C171" i="1"/>
  <c r="C170" i="1"/>
  <c r="J167" i="1"/>
  <c r="F166" i="1"/>
  <c r="C166" i="1"/>
  <c r="F165" i="1"/>
  <c r="C165" i="1"/>
  <c r="L162" i="1"/>
  <c r="O161" i="1"/>
  <c r="K160" i="1"/>
  <c r="I158" i="1"/>
  <c r="H158" i="1"/>
  <c r="F158" i="1"/>
  <c r="H157" i="1"/>
  <c r="F157" i="1"/>
  <c r="I157" i="1" s="1"/>
  <c r="I156" i="1"/>
  <c r="H156" i="1"/>
  <c r="F156" i="1"/>
  <c r="H155" i="1"/>
  <c r="F155" i="1"/>
  <c r="I155" i="1" s="1"/>
  <c r="I154" i="1"/>
  <c r="H154" i="1"/>
  <c r="F154" i="1"/>
  <c r="H153" i="1"/>
  <c r="F153" i="1"/>
  <c r="I153" i="1" s="1"/>
  <c r="I152" i="1"/>
  <c r="H152" i="1"/>
  <c r="H151" i="1" s="1"/>
  <c r="F152" i="1"/>
  <c r="G151" i="1"/>
  <c r="E151" i="1"/>
  <c r="D151" i="1"/>
  <c r="H150" i="1"/>
  <c r="F150" i="1"/>
  <c r="I150" i="1" s="1"/>
  <c r="I149" i="1"/>
  <c r="H149" i="1"/>
  <c r="H147" i="1" s="1"/>
  <c r="F149" i="1"/>
  <c r="H148" i="1"/>
  <c r="F148" i="1"/>
  <c r="F147" i="1" s="1"/>
  <c r="G147" i="1"/>
  <c r="E147" i="1"/>
  <c r="D147" i="1"/>
  <c r="I146" i="1"/>
  <c r="H146" i="1"/>
  <c r="F146" i="1"/>
  <c r="H145" i="1"/>
  <c r="F145" i="1"/>
  <c r="I145" i="1" s="1"/>
  <c r="I144" i="1"/>
  <c r="H144" i="1"/>
  <c r="F144" i="1"/>
  <c r="H143" i="1"/>
  <c r="F143" i="1"/>
  <c r="I143" i="1" s="1"/>
  <c r="I142" i="1"/>
  <c r="H142" i="1"/>
  <c r="F142" i="1"/>
  <c r="H141" i="1"/>
  <c r="F141" i="1"/>
  <c r="I141" i="1" s="1"/>
  <c r="I140" i="1"/>
  <c r="H140" i="1"/>
  <c r="F140" i="1"/>
  <c r="K139" i="1"/>
  <c r="I139" i="1"/>
  <c r="H139" i="1"/>
  <c r="H138" i="1" s="1"/>
  <c r="F139" i="1"/>
  <c r="F138" i="1" s="1"/>
  <c r="G138" i="1"/>
  <c r="E138" i="1"/>
  <c r="D138" i="1"/>
  <c r="H137" i="1"/>
  <c r="F137" i="1"/>
  <c r="I137" i="1" s="1"/>
  <c r="Z136" i="1"/>
  <c r="G133" i="1" s="1"/>
  <c r="H136" i="1"/>
  <c r="F136" i="1"/>
  <c r="I136" i="1" s="1"/>
  <c r="Z135" i="1"/>
  <c r="I135" i="1"/>
  <c r="I134" i="1" s="1"/>
  <c r="H135" i="1"/>
  <c r="F135" i="1"/>
  <c r="Z134" i="1"/>
  <c r="H134" i="1"/>
  <c r="G134" i="1"/>
  <c r="F134" i="1"/>
  <c r="E134" i="1"/>
  <c r="D134" i="1"/>
  <c r="N133" i="1"/>
  <c r="Z133" i="1" s="1"/>
  <c r="F133" i="1"/>
  <c r="Z132" i="1"/>
  <c r="G129" i="1" s="1"/>
  <c r="H129" i="1" s="1"/>
  <c r="I132" i="1"/>
  <c r="H132" i="1"/>
  <c r="G132" i="1"/>
  <c r="F132" i="1"/>
  <c r="AC131" i="1"/>
  <c r="Z131" i="1"/>
  <c r="I131" i="1"/>
  <c r="H131" i="1"/>
  <c r="G131" i="1"/>
  <c r="F131" i="1"/>
  <c r="Z130" i="1"/>
  <c r="F130" i="1"/>
  <c r="Z129" i="1"/>
  <c r="F129" i="1"/>
  <c r="I129" i="1" s="1"/>
  <c r="Q128" i="1"/>
  <c r="P128" i="1"/>
  <c r="P127" i="1" s="1"/>
  <c r="O128" i="1"/>
  <c r="O127" i="1" s="1"/>
  <c r="N128" i="1"/>
  <c r="N127" i="1" s="1"/>
  <c r="L128" i="1"/>
  <c r="Z128" i="1" s="1"/>
  <c r="H128" i="1"/>
  <c r="G128" i="1"/>
  <c r="F128" i="1"/>
  <c r="I128" i="1" s="1"/>
  <c r="W127" i="1"/>
  <c r="V127" i="1"/>
  <c r="U127" i="1"/>
  <c r="T127" i="1"/>
  <c r="S127" i="1"/>
  <c r="R127" i="1"/>
  <c r="Q127" i="1"/>
  <c r="M127" i="1"/>
  <c r="L127" i="1"/>
  <c r="G127" i="1"/>
  <c r="H127" i="1" s="1"/>
  <c r="F127" i="1"/>
  <c r="I127" i="1" s="1"/>
  <c r="I126" i="1"/>
  <c r="H126" i="1"/>
  <c r="G126" i="1"/>
  <c r="F126" i="1"/>
  <c r="F125" i="1"/>
  <c r="F124" i="1"/>
  <c r="E124" i="1"/>
  <c r="D124" i="1"/>
  <c r="H123" i="1"/>
  <c r="F123" i="1"/>
  <c r="I123" i="1" s="1"/>
  <c r="H122" i="1"/>
  <c r="F122" i="1"/>
  <c r="I122" i="1" s="1"/>
  <c r="I121" i="1"/>
  <c r="H121" i="1"/>
  <c r="F121" i="1"/>
  <c r="H120" i="1"/>
  <c r="F120" i="1"/>
  <c r="I120" i="1" s="1"/>
  <c r="H119" i="1"/>
  <c r="F119" i="1"/>
  <c r="I119" i="1" s="1"/>
  <c r="H118" i="1"/>
  <c r="F118" i="1"/>
  <c r="I118" i="1" s="1"/>
  <c r="E118" i="1"/>
  <c r="E114" i="1" s="1"/>
  <c r="H117" i="1"/>
  <c r="F117" i="1"/>
  <c r="I117" i="1" s="1"/>
  <c r="I116" i="1"/>
  <c r="H116" i="1"/>
  <c r="H114" i="1" s="1"/>
  <c r="F116" i="1"/>
  <c r="H115" i="1"/>
  <c r="F115" i="1"/>
  <c r="F114" i="1" s="1"/>
  <c r="G114" i="1"/>
  <c r="D114" i="1"/>
  <c r="D85" i="1" s="1"/>
  <c r="I113" i="1"/>
  <c r="H113" i="1"/>
  <c r="F113" i="1"/>
  <c r="H112" i="1"/>
  <c r="F112" i="1"/>
  <c r="I112" i="1" s="1"/>
  <c r="I111" i="1"/>
  <c r="H111" i="1"/>
  <c r="F111" i="1"/>
  <c r="H110" i="1"/>
  <c r="F110" i="1"/>
  <c r="I110" i="1" s="1"/>
  <c r="I109" i="1"/>
  <c r="H109" i="1"/>
  <c r="F109" i="1"/>
  <c r="H108" i="1"/>
  <c r="F108" i="1"/>
  <c r="I108" i="1" s="1"/>
  <c r="I107" i="1"/>
  <c r="H107" i="1"/>
  <c r="F107" i="1"/>
  <c r="H106" i="1"/>
  <c r="F106" i="1"/>
  <c r="I106" i="1" s="1"/>
  <c r="I105" i="1"/>
  <c r="H105" i="1"/>
  <c r="H104" i="1" s="1"/>
  <c r="F105" i="1"/>
  <c r="G104" i="1"/>
  <c r="E104" i="1"/>
  <c r="D104" i="1"/>
  <c r="H103" i="1"/>
  <c r="F103" i="1"/>
  <c r="I103" i="1" s="1"/>
  <c r="I102" i="1"/>
  <c r="H102" i="1"/>
  <c r="F102" i="1"/>
  <c r="H101" i="1"/>
  <c r="F101" i="1"/>
  <c r="I101" i="1" s="1"/>
  <c r="I100" i="1"/>
  <c r="H100" i="1"/>
  <c r="F100" i="1"/>
  <c r="H99" i="1"/>
  <c r="F99" i="1"/>
  <c r="I99" i="1" s="1"/>
  <c r="I98" i="1"/>
  <c r="H98" i="1"/>
  <c r="F98" i="1"/>
  <c r="H97" i="1"/>
  <c r="F97" i="1"/>
  <c r="I97" i="1" s="1"/>
  <c r="I96" i="1"/>
  <c r="H96" i="1"/>
  <c r="F96" i="1"/>
  <c r="H95" i="1"/>
  <c r="F95" i="1"/>
  <c r="I95" i="1" s="1"/>
  <c r="H94" i="1"/>
  <c r="G94" i="1"/>
  <c r="E94" i="1"/>
  <c r="D94" i="1"/>
  <c r="I93" i="1"/>
  <c r="H93" i="1"/>
  <c r="F93" i="1"/>
  <c r="H92" i="1"/>
  <c r="F92" i="1"/>
  <c r="I92" i="1" s="1"/>
  <c r="I91" i="1"/>
  <c r="H91" i="1"/>
  <c r="F91" i="1"/>
  <c r="H90" i="1"/>
  <c r="F90" i="1"/>
  <c r="I90" i="1" s="1"/>
  <c r="I89" i="1"/>
  <c r="H89" i="1"/>
  <c r="F89" i="1"/>
  <c r="J88" i="1"/>
  <c r="H88" i="1"/>
  <c r="H86" i="1" s="1"/>
  <c r="F88" i="1"/>
  <c r="I88" i="1" s="1"/>
  <c r="I87" i="1"/>
  <c r="H87" i="1"/>
  <c r="F87" i="1"/>
  <c r="G86" i="1"/>
  <c r="E86" i="1"/>
  <c r="E85" i="1" s="1"/>
  <c r="D86" i="1"/>
  <c r="H84" i="1"/>
  <c r="F84" i="1"/>
  <c r="I84" i="1" s="1"/>
  <c r="I83" i="1"/>
  <c r="H83" i="1"/>
  <c r="F83" i="1"/>
  <c r="H82" i="1"/>
  <c r="F82" i="1"/>
  <c r="I82" i="1" s="1"/>
  <c r="H81" i="1"/>
  <c r="F81" i="1"/>
  <c r="I81" i="1" s="1"/>
  <c r="H80" i="1"/>
  <c r="F80" i="1"/>
  <c r="I80" i="1" s="1"/>
  <c r="I79" i="1"/>
  <c r="H79" i="1"/>
  <c r="F79" i="1"/>
  <c r="H78" i="1"/>
  <c r="H77" i="1" s="1"/>
  <c r="F78" i="1"/>
  <c r="I78" i="1" s="1"/>
  <c r="I77" i="1" s="1"/>
  <c r="G77" i="1"/>
  <c r="E77" i="1"/>
  <c r="D77" i="1"/>
  <c r="I76" i="1"/>
  <c r="H76" i="1"/>
  <c r="F76" i="1"/>
  <c r="H75" i="1"/>
  <c r="H73" i="1" s="1"/>
  <c r="F75" i="1"/>
  <c r="I75" i="1" s="1"/>
  <c r="H74" i="1"/>
  <c r="F74" i="1"/>
  <c r="I74" i="1" s="1"/>
  <c r="G73" i="1"/>
  <c r="E73" i="1"/>
  <c r="D73" i="1"/>
  <c r="H72" i="1"/>
  <c r="F72" i="1"/>
  <c r="I72" i="1" s="1"/>
  <c r="H71" i="1"/>
  <c r="F71" i="1"/>
  <c r="I71" i="1" s="1"/>
  <c r="H70" i="1"/>
  <c r="F70" i="1"/>
  <c r="I70" i="1" s="1"/>
  <c r="I69" i="1"/>
  <c r="H69" i="1"/>
  <c r="F69" i="1"/>
  <c r="H68" i="1"/>
  <c r="F68" i="1"/>
  <c r="I68" i="1" s="1"/>
  <c r="H67" i="1"/>
  <c r="F67" i="1"/>
  <c r="I67" i="1" s="1"/>
  <c r="H66" i="1"/>
  <c r="F66" i="1"/>
  <c r="F64" i="1" s="1"/>
  <c r="I65" i="1"/>
  <c r="H65" i="1"/>
  <c r="F65" i="1"/>
  <c r="H64" i="1"/>
  <c r="G64" i="1"/>
  <c r="E64" i="1"/>
  <c r="D64" i="1"/>
  <c r="H63" i="1"/>
  <c r="F63" i="1"/>
  <c r="I63" i="1" s="1"/>
  <c r="I62" i="1"/>
  <c r="H62" i="1"/>
  <c r="F62" i="1"/>
  <c r="H61" i="1"/>
  <c r="H60" i="1" s="1"/>
  <c r="F61" i="1"/>
  <c r="I61" i="1" s="1"/>
  <c r="I60" i="1" s="1"/>
  <c r="G60" i="1"/>
  <c r="E60" i="1"/>
  <c r="D60" i="1"/>
  <c r="V59" i="1"/>
  <c r="U59" i="1"/>
  <c r="Z59" i="1" s="1"/>
  <c r="G59" i="1" s="1"/>
  <c r="F59" i="1"/>
  <c r="V58" i="1"/>
  <c r="U58" i="1"/>
  <c r="Z58" i="1" s="1"/>
  <c r="G58" i="1" s="1"/>
  <c r="H58" i="1" s="1"/>
  <c r="F58" i="1"/>
  <c r="I58" i="1" s="1"/>
  <c r="V57" i="1"/>
  <c r="U57" i="1"/>
  <c r="Z57" i="1" s="1"/>
  <c r="G57" i="1" s="1"/>
  <c r="H57" i="1" s="1"/>
  <c r="F57" i="1"/>
  <c r="V56" i="1"/>
  <c r="U56" i="1"/>
  <c r="S56" i="1"/>
  <c r="Q56" i="1"/>
  <c r="P56" i="1"/>
  <c r="N56" i="1"/>
  <c r="L56" i="1"/>
  <c r="Z56" i="1" s="1"/>
  <c r="G56" i="1" s="1"/>
  <c r="H56" i="1" s="1"/>
  <c r="E56" i="1"/>
  <c r="F56" i="1" s="1"/>
  <c r="V55" i="1"/>
  <c r="U55" i="1"/>
  <c r="Z55" i="1" s="1"/>
  <c r="G55" i="1" s="1"/>
  <c r="H55" i="1" s="1"/>
  <c r="F55" i="1"/>
  <c r="I55" i="1" s="1"/>
  <c r="V54" i="1"/>
  <c r="U54" i="1"/>
  <c r="M54" i="1"/>
  <c r="L54" i="1"/>
  <c r="Z54" i="1" s="1"/>
  <c r="G54" i="1" s="1"/>
  <c r="F54" i="1"/>
  <c r="V53" i="1"/>
  <c r="U53" i="1"/>
  <c r="Z53" i="1" s="1"/>
  <c r="G53" i="1" s="1"/>
  <c r="H53" i="1" s="1"/>
  <c r="F53" i="1"/>
  <c r="V52" i="1"/>
  <c r="U52" i="1"/>
  <c r="U50" i="1" s="1"/>
  <c r="F52" i="1"/>
  <c r="W51" i="1"/>
  <c r="V51" i="1"/>
  <c r="V50" i="1" s="1"/>
  <c r="U51" i="1"/>
  <c r="T51" i="1"/>
  <c r="S51" i="1"/>
  <c r="S50" i="1" s="1"/>
  <c r="Q51" i="1"/>
  <c r="Q50" i="1" s="1"/>
  <c r="P51" i="1"/>
  <c r="P50" i="1" s="1"/>
  <c r="N51" i="1"/>
  <c r="N50" i="1" s="1"/>
  <c r="M51" i="1"/>
  <c r="M50" i="1" s="1"/>
  <c r="L51" i="1"/>
  <c r="Z51" i="1" s="1"/>
  <c r="G51" i="1" s="1"/>
  <c r="E51" i="1"/>
  <c r="F51" i="1" s="1"/>
  <c r="W50" i="1"/>
  <c r="T50" i="1"/>
  <c r="R50" i="1"/>
  <c r="O50" i="1"/>
  <c r="E50" i="1"/>
  <c r="D50" i="1"/>
  <c r="I49" i="1"/>
  <c r="H49" i="1"/>
  <c r="F49" i="1"/>
  <c r="H48" i="1"/>
  <c r="F48" i="1"/>
  <c r="I48" i="1" s="1"/>
  <c r="H47" i="1"/>
  <c r="F47" i="1"/>
  <c r="F40" i="1" s="1"/>
  <c r="H46" i="1"/>
  <c r="F46" i="1"/>
  <c r="I46" i="1" s="1"/>
  <c r="I45" i="1"/>
  <c r="H45" i="1"/>
  <c r="F45" i="1"/>
  <c r="H44" i="1"/>
  <c r="J44" i="1" s="1"/>
  <c r="F44" i="1"/>
  <c r="I44" i="1" s="1"/>
  <c r="I43" i="1"/>
  <c r="H43" i="1"/>
  <c r="F43" i="1"/>
  <c r="H42" i="1"/>
  <c r="H40" i="1" s="1"/>
  <c r="F42" i="1"/>
  <c r="I42" i="1" s="1"/>
  <c r="H41" i="1"/>
  <c r="F41" i="1"/>
  <c r="I41" i="1" s="1"/>
  <c r="G40" i="1"/>
  <c r="E40" i="1"/>
  <c r="D40" i="1"/>
  <c r="H39" i="1"/>
  <c r="F39" i="1"/>
  <c r="I39" i="1" s="1"/>
  <c r="H38" i="1"/>
  <c r="F38" i="1"/>
  <c r="I38" i="1" s="1"/>
  <c r="H37" i="1"/>
  <c r="F37" i="1"/>
  <c r="I37" i="1" s="1"/>
  <c r="I36" i="1"/>
  <c r="H36" i="1"/>
  <c r="F36" i="1"/>
  <c r="H35" i="1"/>
  <c r="F35" i="1"/>
  <c r="I35" i="1" s="1"/>
  <c r="H34" i="1"/>
  <c r="F34" i="1"/>
  <c r="I34" i="1" s="1"/>
  <c r="H33" i="1"/>
  <c r="F33" i="1"/>
  <c r="I33" i="1" s="1"/>
  <c r="I32" i="1"/>
  <c r="H32" i="1"/>
  <c r="F32" i="1"/>
  <c r="H31" i="1"/>
  <c r="H30" i="1" s="1"/>
  <c r="F31" i="1"/>
  <c r="I31" i="1" s="1"/>
  <c r="G30" i="1"/>
  <c r="J30" i="1" s="1"/>
  <c r="E30" i="1"/>
  <c r="D30" i="1"/>
  <c r="I29" i="1"/>
  <c r="H29" i="1"/>
  <c r="F29" i="1"/>
  <c r="I28" i="1"/>
  <c r="H28" i="1"/>
  <c r="F28" i="1"/>
  <c r="H27" i="1"/>
  <c r="F27" i="1"/>
  <c r="I27" i="1" s="1"/>
  <c r="H26" i="1"/>
  <c r="F26" i="1"/>
  <c r="I26" i="1" s="1"/>
  <c r="I25" i="1"/>
  <c r="H25" i="1"/>
  <c r="F25" i="1"/>
  <c r="I24" i="1"/>
  <c r="H24" i="1"/>
  <c r="F24" i="1"/>
  <c r="H23" i="1"/>
  <c r="F23" i="1"/>
  <c r="I23" i="1" s="1"/>
  <c r="H22" i="1"/>
  <c r="F22" i="1"/>
  <c r="I22" i="1" s="1"/>
  <c r="I21" i="1"/>
  <c r="I20" i="1" s="1"/>
  <c r="H21" i="1"/>
  <c r="H20" i="1" s="1"/>
  <c r="F21" i="1"/>
  <c r="F20" i="1" s="1"/>
  <c r="J20" i="1"/>
  <c r="G20" i="1"/>
  <c r="E20" i="1"/>
  <c r="D20" i="1"/>
  <c r="H19" i="1"/>
  <c r="F19" i="1"/>
  <c r="I19" i="1" s="1"/>
  <c r="H18" i="1"/>
  <c r="F18" i="1"/>
  <c r="I18" i="1" s="1"/>
  <c r="I17" i="1"/>
  <c r="H17" i="1"/>
  <c r="F17" i="1"/>
  <c r="H16" i="1"/>
  <c r="F16" i="1"/>
  <c r="I16" i="1" s="1"/>
  <c r="H15" i="1"/>
  <c r="F15" i="1"/>
  <c r="F12" i="1" s="1"/>
  <c r="H14" i="1"/>
  <c r="H12" i="1" s="1"/>
  <c r="F14" i="1"/>
  <c r="I14" i="1" s="1"/>
  <c r="I13" i="1"/>
  <c r="H13" i="1"/>
  <c r="F13" i="1"/>
  <c r="G12" i="1"/>
  <c r="J12" i="1" s="1"/>
  <c r="E12" i="1"/>
  <c r="E10" i="1" s="1"/>
  <c r="D12" i="1"/>
  <c r="K10" i="1"/>
  <c r="L10" i="1" s="1"/>
  <c r="D10" i="1"/>
  <c r="D160" i="1" s="1"/>
  <c r="K9" i="1"/>
  <c r="C5" i="1"/>
  <c r="G130" i="1" l="1"/>
  <c r="AC133" i="1"/>
  <c r="I133" i="1"/>
  <c r="H133" i="1"/>
  <c r="I73" i="1"/>
  <c r="I59" i="1"/>
  <c r="H59" i="1"/>
  <c r="I54" i="1"/>
  <c r="H54" i="1"/>
  <c r="K127" i="1"/>
  <c r="G125" i="1"/>
  <c r="AC128" i="1"/>
  <c r="M10" i="1"/>
  <c r="I57" i="1"/>
  <c r="I94" i="1"/>
  <c r="K59" i="1"/>
  <c r="I52" i="1"/>
  <c r="I125" i="1"/>
  <c r="I151" i="1"/>
  <c r="I30" i="1"/>
  <c r="I86" i="1"/>
  <c r="I104" i="1"/>
  <c r="I138" i="1"/>
  <c r="J52" i="1"/>
  <c r="G50" i="1"/>
  <c r="H51" i="1"/>
  <c r="I56" i="1"/>
  <c r="J10" i="1"/>
  <c r="E160" i="1"/>
  <c r="F50" i="1"/>
  <c r="I51" i="1"/>
  <c r="I50" i="1" s="1"/>
  <c r="I12" i="1"/>
  <c r="I53" i="1"/>
  <c r="I15" i="1"/>
  <c r="F73" i="1"/>
  <c r="F86" i="1"/>
  <c r="F104" i="1"/>
  <c r="F151" i="1"/>
  <c r="F60" i="1"/>
  <c r="I66" i="1"/>
  <c r="I64" i="1" s="1"/>
  <c r="F77" i="1"/>
  <c r="I47" i="1"/>
  <c r="I40" i="1" s="1"/>
  <c r="F30" i="1"/>
  <c r="F10" i="1" s="1"/>
  <c r="Z52" i="1"/>
  <c r="G52" i="1" s="1"/>
  <c r="H52" i="1" s="1"/>
  <c r="L50" i="1"/>
  <c r="F94" i="1"/>
  <c r="I115" i="1"/>
  <c r="I114" i="1" s="1"/>
  <c r="I148" i="1"/>
  <c r="I147" i="1" s="1"/>
  <c r="F160" i="1" l="1"/>
  <c r="I124" i="1"/>
  <c r="I130" i="1"/>
  <c r="H130" i="1"/>
  <c r="F85" i="1"/>
  <c r="J59" i="1"/>
  <c r="H50" i="1"/>
  <c r="AC137" i="1"/>
  <c r="G10" i="1"/>
  <c r="G124" i="1"/>
  <c r="G85" i="1" s="1"/>
  <c r="K85" i="1" s="1"/>
  <c r="H125" i="1"/>
  <c r="H124" i="1" s="1"/>
  <c r="H85" i="1" s="1"/>
  <c r="I10" i="1"/>
  <c r="I85" i="1"/>
  <c r="K138" i="1"/>
  <c r="K140" i="1" s="1"/>
  <c r="K50" i="1" l="1"/>
  <c r="H10" i="1"/>
  <c r="H160" i="1" s="1"/>
  <c r="K177" i="1" s="1"/>
  <c r="K178" i="1" s="1"/>
  <c r="M160" i="1"/>
  <c r="G160" i="1"/>
  <c r="K181" i="1" l="1"/>
  <c r="K182" i="1" s="1"/>
  <c r="J169" i="1"/>
  <c r="K167" i="1" s="1"/>
  <c r="J161" i="1"/>
  <c r="L160" i="1"/>
  <c r="I160" i="1"/>
  <c r="L161" i="1" l="1"/>
  <c r="N161" i="1" s="1"/>
  <c r="K1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Lucy Ovalle</author>
    <author>CRI-CUAU</author>
    <author>Sistemas</author>
  </authors>
  <commentList>
    <comment ref="E8" authorId="0" shapeId="0" xr:uid="{7EFF646E-2F1B-4B92-81A9-C7F7BE9545B2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MAS Y MENOS, PUEDE AUMENTAR O DISMINUIR
</t>
        </r>
      </text>
    </comment>
    <comment ref="E10" authorId="0" shapeId="0" xr:uid="{516515F4-8A52-407C-A459-B752BF65CCB0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DEBE SER IGUAL A XLS AMPLIACIONES ESTATAL Y REMANENTES Y PROPIOS
</t>
        </r>
      </text>
    </comment>
    <comment ref="K10" authorId="0" shapeId="0" xr:uid="{E36B0C2A-DB72-4FA2-91C0-BC780915FA10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TOTAL 1)AMPLIACIONES/ESTATAL, PROPIO, Y REMANTES
</t>
        </r>
      </text>
    </comment>
    <comment ref="E13" authorId="1" shapeId="0" xr:uid="{E4E8E4C8-898F-4D68-9E33-F5B4B086E9C2}">
      <text>
        <r>
          <rPr>
            <b/>
            <sz val="9"/>
            <color indexed="81"/>
            <rFont val="Tahoma"/>
            <family val="2"/>
          </rPr>
          <t xml:space="preserve">Lucy Ovalle:
</t>
        </r>
        <r>
          <rPr>
            <sz val="9"/>
            <color indexed="81"/>
            <rFont val="Tahoma"/>
            <family val="2"/>
          </rPr>
          <t xml:space="preserve">xls/ampliaciones pptales 2022/ 
</t>
        </r>
        <r>
          <rPr>
            <b/>
            <sz val="9"/>
            <color indexed="81"/>
            <rFont val="Tahoma"/>
            <family val="2"/>
          </rPr>
          <t>Sumar ampliaciones del rubro 1100</t>
        </r>
      </text>
    </comment>
    <comment ref="G14" authorId="0" shapeId="0" xr:uid="{A00AD142-25A6-4D68-872E-BA03C6861331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AUXILIARES CATALOGO </t>
        </r>
        <r>
          <rPr>
            <b/>
            <sz val="9"/>
            <color indexed="81"/>
            <rFont val="Tahoma"/>
            <family val="2"/>
          </rPr>
          <t>SUBCUENTAS</t>
        </r>
        <r>
          <rPr>
            <sz val="9"/>
            <color indexed="81"/>
            <rFont val="Tahoma"/>
            <family val="2"/>
          </rPr>
          <t xml:space="preserve">
500 (CUENTA)
</t>
        </r>
        <r>
          <rPr>
            <b/>
            <sz val="9"/>
            <color indexed="81"/>
            <rFont val="Tahoma"/>
            <family val="2"/>
          </rPr>
          <t>121301 al 123101</t>
        </r>
        <r>
          <rPr>
            <sz val="9"/>
            <color indexed="81"/>
            <rFont val="Tahoma"/>
            <family val="2"/>
          </rPr>
          <t xml:space="preserve">
generar del 01012023 al 31(mes cierre)2023 menos lo que tiene fondo federal</t>
        </r>
      </text>
    </comment>
    <comment ref="C44" authorId="0" shapeId="0" xr:uid="{3F65031C-5CA9-423C-8E6B-A9F0DAC2CB5C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CTA 553</t>
        </r>
      </text>
    </comment>
    <comment ref="E51" authorId="0" shapeId="0" xr:uid="{12917A65-7FA6-49A4-A09B-9F1F36C7FA4C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G51" authorId="0" shapeId="0" xr:uid="{C5F92FBF-6140-441D-94D4-5C3669B89113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L51" authorId="0" shapeId="0" xr:uid="{FC708440-8592-4D33-8F07-7754D26E57AC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M51" authorId="0" shapeId="0" xr:uid="{5ED7E954-6F33-44B5-979C-9C0F82937072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134,136 y 139 DEL MES MAS MESES ANTERIORES , SUMAR JULIO, AGOSTO Y SEPTIEMBRE EN SEPTIEMBRE</t>
        </r>
      </text>
    </comment>
    <comment ref="N51" authorId="0" shapeId="0" xr:uid="{3951D2EB-3F66-46FB-AA0B-B0CB75773365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O51" authorId="0" shapeId="0" xr:uid="{6458B8FA-8392-48C2-8AC9-FC36DB00F51B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P51" authorId="0" shapeId="0" xr:uid="{1F356615-1DFC-45D8-ADC5-5AA02428C6B4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Q51" authorId="0" shapeId="0" xr:uid="{84392A25-A545-4E43-ADE3-F43AF71DA738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R51" authorId="0" shapeId="0" xr:uid="{79C039AD-649C-4FBB-BE97-06440B45DD11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S51" authorId="0" shapeId="0" xr:uid="{51A45233-6BB1-4FB8-B6D2-3410D9276BD8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T51" authorId="0" shapeId="0" xr:uid="{9B16043D-6D53-44D1-A534-ABB804996F39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U51" authorId="0" shapeId="0" xr:uid="{D0E9C380-F5AA-4166-9D1A-557ED9CCA3D5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V51" authorId="0" shapeId="0" xr:uid="{DC7132A8-2AAA-4262-8CC7-CBD27B629006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W51" authorId="0" shapeId="0" xr:uid="{D8FC608B-6C4D-4A84-9854-AE6BF0BD928C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G52" authorId="0" shapeId="0" xr:uid="{CC406F86-99D4-43B3-86C0-8EF7FCF04B0C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U52" authorId="0" shapeId="0" xr:uid="{230C80BB-6159-4A84-A329-CA019455BEE2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G53" authorId="0" shapeId="0" xr:uid="{1BFCF4B0-F8D5-4376-BAC2-05F35760B761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U53" authorId="0" shapeId="0" xr:uid="{3A568C26-7791-4779-9491-C273C4AED9D8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E54" authorId="0" shapeId="0" xr:uid="{5C191634-5CBC-4235-876D-A54A0E3C093A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G54" authorId="0" shapeId="0" xr:uid="{A62656FE-8CA7-430C-834D-EEA136234018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L54" authorId="0" shapeId="0" xr:uid="{C2CF72FA-645F-400B-99E4-5DDAD6712730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M54" authorId="0" shapeId="0" xr:uid="{CD6B51F8-3AA5-4EEA-8DB9-F233D3AC969E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auc 138 
recurso propio /1)ampliaciones
</t>
        </r>
      </text>
    </comment>
    <comment ref="N54" authorId="0" shapeId="0" xr:uid="{25BA6CCB-6E7C-4453-AC8C-E08B8C968A49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O54" authorId="0" shapeId="0" xr:uid="{C7813BEC-7B83-467A-9805-7EA5E7E5CD1C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P54" authorId="0" shapeId="0" xr:uid="{0056A4D7-E4A4-4EEB-A95B-4AF39F63D395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Q54" authorId="0" shapeId="0" xr:uid="{62208839-5732-4083-A79F-354DF28CB2DB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R54" authorId="0" shapeId="0" xr:uid="{19B4A82B-AC60-4559-9682-0143261910A5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S54" authorId="0" shapeId="0" xr:uid="{4DA66418-88D0-4790-9794-586B4EE43191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T54" authorId="0" shapeId="0" xr:uid="{79B78AB1-2FE3-401E-9824-26AF08634F2D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U54" authorId="0" shapeId="0" xr:uid="{500B9B18-F1E5-43C5-BAB4-642A5D300434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V54" authorId="0" shapeId="0" xr:uid="{225538D0-155E-431A-8DD0-6769300E53AF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W54" authorId="0" shapeId="0" xr:uid="{801DB2F7-161C-44CF-B64F-03C6AB2C979E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G55" authorId="0" shapeId="0" xr:uid="{9EAFF7B5-2E73-48B2-992C-B00FC94CC483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U55" authorId="0" shapeId="0" xr:uid="{A98CECDB-199A-4D54-9728-D382BB719CFE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G56" authorId="0" shapeId="0" xr:uid="{033C6CDE-3BD7-45BF-B9C3-17A321C609DD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M56" authorId="2" shapeId="0" xr:uid="{B485DF98-96C5-4D4D-99FC-55B5BBA3C673}">
      <text>
        <r>
          <rPr>
            <b/>
            <sz val="9"/>
            <color indexed="81"/>
            <rFont val="Tahoma"/>
            <family val="2"/>
          </rPr>
          <t>Sistemas:</t>
        </r>
        <r>
          <rPr>
            <sz val="9"/>
            <color indexed="81"/>
            <rFont val="Tahoma"/>
            <family val="2"/>
          </rPr>
          <t xml:space="preserve">
aux 135
</t>
        </r>
      </text>
    </comment>
    <comment ref="U56" authorId="0" shapeId="0" xr:uid="{DF733C03-3D23-49B2-A69D-6BD555991606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G57" authorId="0" shapeId="0" xr:uid="{E6644EED-133E-4EE6-B0FC-568AC93C0452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U57" authorId="0" shapeId="0" xr:uid="{C61E49A2-1499-4845-B607-41D5F472D600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G58" authorId="0" shapeId="0" xr:uid="{CC8FB4DB-6A13-4A99-A3AB-90084D814301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U58" authorId="0" shapeId="0" xr:uid="{72B879E6-8736-4F84-8CF8-17C29B585DA7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G59" authorId="0" shapeId="0" xr:uid="{A5268850-0AB1-4FA9-BA63-37B90548E2FA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U59" authorId="0" shapeId="0" xr:uid="{D25368CB-68C9-4555-B53A-BA35CE99F43F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J85" authorId="0" shapeId="0" xr:uid="{919DCD0C-372A-40CE-826A-E6A7DB64B886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GASTO FEDERAL 41.XLS</t>
        </r>
      </text>
    </comment>
    <comment ref="K85" authorId="0" shapeId="0" xr:uid="{DD217887-BD29-481D-BD44-038C0489B8BC}">
      <text>
        <r>
          <rPr>
            <b/>
            <sz val="9"/>
            <color indexed="81"/>
            <rFont val="Tahoma"/>
            <family val="2"/>
          </rPr>
          <t xml:space="preserve">Lucy Ovalle:
comprobacion, gto fed 41. xls-gasto ejercido f85+activo 
</t>
        </r>
      </text>
    </comment>
    <comment ref="G88" authorId="1" shapeId="0" xr:uid="{59D2079B-F43E-4C7F-A4CF-364A98167FDC}">
      <text>
        <r>
          <rPr>
            <b/>
            <sz val="9"/>
            <color indexed="81"/>
            <rFont val="Tahoma"/>
            <family val="2"/>
          </rPr>
          <t xml:space="preserve">Lucy Ovalle:
</t>
        </r>
        <r>
          <rPr>
            <sz val="9"/>
            <color indexed="81"/>
            <rFont val="Tahoma"/>
            <family val="2"/>
          </rPr>
          <t xml:space="preserve">De la cuenta 500 sueldos y salarios (GENERAR AUX CATALOGO Cuenta 500-520)tipo de consulta seleccionar todos buscar por fondo,  ver lo que se pago con fonto federal (513 y 514) </t>
        </r>
      </text>
    </comment>
    <comment ref="C118" authorId="0" shapeId="0" xr:uid="{5055C33E-E06C-4131-849A-0F8CAE90CF12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RAMO 33 FAM FONDO 613
FISE                 FONDO 602
RAMO  12         FONDO 502
 </t>
        </r>
      </text>
    </comment>
    <comment ref="L128" authorId="0" shapeId="0" xr:uid="{59E906F9-7715-4B70-A086-B7DF5027BC1C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M128" authorId="0" shapeId="0" xr:uid="{8155113C-BDAE-4C7D-A34D-DE04D3DAA5A1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 y 139 DEL MES MAS MESES ANTERIORES , SUMAR JULIO, AGOSTO Y SEPTIEMBRE EN SEPTIEMBRE</t>
        </r>
      </text>
    </comment>
    <comment ref="N128" authorId="0" shapeId="0" xr:uid="{3FF5F116-3919-42EB-92DA-E461FE9E047D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O128" authorId="0" shapeId="0" xr:uid="{64B3DB8A-5BAD-4AD4-ABF3-C694D2E1E7A1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P128" authorId="0" shapeId="0" xr:uid="{69E4317A-3EEA-4454-A680-ACEAC4B153EC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Q128" authorId="0" shapeId="0" xr:uid="{53CEDBB7-4100-4140-95DE-0F271D45C2DB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R128" authorId="0" shapeId="0" xr:uid="{7A0E1702-6CDC-4C56-90D7-4F970D26EBBA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S128" authorId="0" shapeId="0" xr:uid="{9487742C-E757-4A45-A271-802539E9D752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T128" authorId="0" shapeId="0" xr:uid="{D0B2CA8B-94E9-4152-A1E0-6E55C3204A11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U128" authorId="0" shapeId="0" xr:uid="{AD1914A9-F6B7-4CB8-93E2-714EED3BE826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V128" authorId="0" shapeId="0" xr:uid="{8C6CD792-8938-43F6-87E4-703BE1CCC4B6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W128" authorId="0" shapeId="0" xr:uid="{160B7CD2-4C0A-494F-8EE6-9E12101A3BF5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AUXILIAR 134-139 DEL MES MAS MESES ANTERIORES , SUMAR JULIO, AGOSTO Y SEPTIEMBRE EN SEPTIEMBRE</t>
        </r>
      </text>
    </comment>
    <comment ref="L131" authorId="0" shapeId="0" xr:uid="{F6944C7D-ED23-4F9E-A30C-8DBFC972F5D5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M131" authorId="0" shapeId="0" xr:uid="{83EC1AD0-CA5E-4574-AB26-5CE532E0747B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aux 138
recurso propio /1)ampliaciones
</t>
        </r>
      </text>
    </comment>
    <comment ref="N131" authorId="0" shapeId="0" xr:uid="{B7A95ABC-FA2B-4221-B5D7-A768F1A7D78D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O131" authorId="0" shapeId="0" xr:uid="{8A95206E-6DDB-4ACB-80CD-9FAB4459D2FD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P131" authorId="0" shapeId="0" xr:uid="{D6BCFE97-B7CD-43ED-8194-BBD03912A91C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Q131" authorId="0" shapeId="0" xr:uid="{06EBCA99-F01F-4772-9648-FE5B727C3B13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R131" authorId="0" shapeId="0" xr:uid="{F2AE6315-82F4-4306-87DA-9294F5D327CF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S131" authorId="0" shapeId="0" xr:uid="{B57F8ABD-6A2E-4F17-A6C4-B13A2CF7EB39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T131" authorId="0" shapeId="0" xr:uid="{26D579E3-2168-4B04-AF42-70FA3A570813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U131" authorId="0" shapeId="0" xr:uid="{C65B02EE-8687-49F0-85A0-E356598E6772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V131" authorId="0" shapeId="0" xr:uid="{EAC4F76B-4880-41D0-AC98-4BC91D4D6416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W131" authorId="0" shapeId="0" xr:uid="{6F8B432D-928E-41E2-AD67-BD32E8994F62}">
      <text>
        <r>
          <rPr>
            <b/>
            <sz val="9"/>
            <color indexed="81"/>
            <rFont val="Tahoma"/>
            <family val="2"/>
          </rPr>
          <t>Lucy Ovalle:</t>
        </r>
        <r>
          <rPr>
            <sz val="9"/>
            <color indexed="81"/>
            <rFont val="Tahoma"/>
            <family val="2"/>
          </rPr>
          <t xml:space="preserve">
recurso propio /1)ampliaciones
</t>
        </r>
      </text>
    </comment>
    <comment ref="M133" authorId="2" shapeId="0" xr:uid="{989FD053-04EB-41FC-AADE-0EEF32E88961}">
      <text>
        <r>
          <rPr>
            <b/>
            <sz val="9"/>
            <color indexed="81"/>
            <rFont val="Tahoma"/>
            <family val="2"/>
          </rPr>
          <t>Sistemas:</t>
        </r>
        <r>
          <rPr>
            <sz val="9"/>
            <color indexed="81"/>
            <rFont val="Tahoma"/>
            <family val="2"/>
          </rPr>
          <t xml:space="preserve">
aux 135
</t>
        </r>
      </text>
    </comment>
  </commentList>
</comments>
</file>

<file path=xl/sharedStrings.xml><?xml version="1.0" encoding="utf-8"?>
<sst xmlns="http://schemas.openxmlformats.org/spreadsheetml/2006/main" count="259" uniqueCount="154">
  <si>
    <t>DESARROLLO INTEGRAL DE LA FAMILIA DEL ESTADO DE CHIHUAHUA</t>
  </si>
  <si>
    <t>dudas</t>
  </si>
  <si>
    <t>Estado Analítico del Ejercicio del Presupuesto de Egresos Detallado - LDF</t>
  </si>
  <si>
    <t xml:space="preserve">Clasificación por Objeto del Gasto (Capítulo y Concepto) </t>
  </si>
  <si>
    <t>2.- los intereses fam se deberan incrementar en etiquetadis o no etiquetados ??? Lo deje en etiquetado</t>
  </si>
  <si>
    <t xml:space="preserve">PENDIENTE CHECAR GASTOS DE ACTIVOS FIJOS Y VERIFICAR SI TIENEN  AMPLIACION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</si>
  <si>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</si>
  <si>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</si>
  <si>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</si>
  <si>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</si>
  <si>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</si>
  <si>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</si>
  <si>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</si>
  <si>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</si>
  <si>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</si>
  <si>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</si>
  <si>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</si>
  <si>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</si>
  <si>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</si>
  <si>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</si>
  <si>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</si>
  <si>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</si>
  <si>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</si>
  <si>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</si>
  <si>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</si>
  <si>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</si>
  <si>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</si>
  <si>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</si>
  <si>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</si>
  <si>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</si>
  <si>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</si>
  <si>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</si>
  <si>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</si>
  <si>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</si>
  <si>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</si>
  <si>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</si>
  <si>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</si>
  <si>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</si>
  <si>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</si>
  <si>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</si>
  <si>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</si>
  <si>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</si>
  <si>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</si>
  <si>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</si>
  <si>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</si>
  <si>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</si>
  <si>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</si>
  <si>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</si>
  <si>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</si>
  <si>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</si>
  <si>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</si>
  <si>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</si>
  <si>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ACTIVO ESTATAL Y PROPIOS</t>
  </si>
  <si>
    <t>d8) Donativos</t>
  </si>
  <si>
    <t>d9) Transferencias al Exterior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</si>
  <si>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</si>
  <si>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</si>
  <si>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</si>
  <si>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</si>
  <si>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</si>
  <si>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</si>
  <si>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</si>
  <si>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</si>
  <si>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</si>
  <si>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MZO</t>
  </si>
  <si>
    <t>FEB</t>
  </si>
  <si>
    <t>ENE</t>
  </si>
  <si>
    <t>E. Bienes Muebles, Inmuebles e Intangibles (E=e1+e2+e3+e4+e5+e6+e7+e8+e9)</t>
  </si>
  <si>
    <t>cta mayor</t>
  </si>
  <si>
    <t>e1) Mobiliario y Equipo de Administración</t>
  </si>
  <si>
    <t>el activo va en la columna F</t>
  </si>
  <si>
    <t>e1</t>
  </si>
  <si>
    <t>Mobiliario y Equipo de Administración</t>
  </si>
  <si>
    <t>136 y 139</t>
  </si>
  <si>
    <t>e2) Mobiliario y Equipo Educacional y Recreativo</t>
  </si>
  <si>
    <t>e2</t>
  </si>
  <si>
    <t>Mobiliario y Equipo Educacional y Recreativo</t>
  </si>
  <si>
    <t>e3) Equipo e Instrumental Médico y de Laboratorio</t>
  </si>
  <si>
    <t>e3</t>
  </si>
  <si>
    <t>Equipo e Instrumental Médico y de Laboratorio</t>
  </si>
  <si>
    <t>e4) Vehículos y Equipo de Transporte</t>
  </si>
  <si>
    <t>e4</t>
  </si>
  <si>
    <t>Vehículos y Equipo de Transporte</t>
  </si>
  <si>
    <t>e5) Equipo de Defensa y Seguridad</t>
  </si>
  <si>
    <t>e5</t>
  </si>
  <si>
    <t>Equipo de Defensa y Seguridad</t>
  </si>
  <si>
    <t>e6) Maquinaria, Otros Equipos y Herramientas</t>
  </si>
  <si>
    <t>e6</t>
  </si>
  <si>
    <t>Maquinaria, Otros Equipos y Herramientas</t>
  </si>
  <si>
    <t>e7) Activos Biológicos</t>
  </si>
  <si>
    <t>e7</t>
  </si>
  <si>
    <t>Activos Biológicos</t>
  </si>
  <si>
    <t>e8) Bienes Inmuebles</t>
  </si>
  <si>
    <t>e8</t>
  </si>
  <si>
    <t>Bienes Inmuebles</t>
  </si>
  <si>
    <t>e9) Activos Intangibles</t>
  </si>
  <si>
    <t>e9</t>
  </si>
  <si>
    <t>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</si>
  <si>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</si>
  <si>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</si>
  <si>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</si>
  <si>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</si>
  <si>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</si>
  <si>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</si>
  <si>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</si>
  <si>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</si>
  <si>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</si>
  <si>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</si>
  <si>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</si>
  <si>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</si>
  <si>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</si>
  <si>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</si>
  <si>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</si>
  <si>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</si>
  <si>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</si>
  <si>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</si>
  <si>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</si>
  <si>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</si>
  <si>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</si>
  <si>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</si>
  <si>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</si>
  <si>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</si>
  <si>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</si>
  <si>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</si>
  <si>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ENE-ENE</t>
  </si>
  <si>
    <t>ENE-FEB</t>
  </si>
  <si>
    <t>ENE-MAR</t>
  </si>
  <si>
    <t>ENE-ABRL</t>
  </si>
  <si>
    <t>ENE-MAY</t>
  </si>
  <si>
    <t>ENE-JUN</t>
  </si>
  <si>
    <t>Generar ANEXOS de las cuentas 500-520</t>
  </si>
  <si>
    <t>los fondos 513 y 514 son federales</t>
  </si>
  <si>
    <t>ACTIVO FEDERAL</t>
  </si>
  <si>
    <t>ejercido</t>
  </si>
  <si>
    <t>comprobacion activo total</t>
  </si>
  <si>
    <t>TOTAL GTO EDO RDOS</t>
  </si>
  <si>
    <t>DIFERENCIA</t>
  </si>
  <si>
    <t>ACTIVO</t>
  </si>
  <si>
    <t>III. Total de Egresos (III = I + II)</t>
  </si>
  <si>
    <t>(=) dep acum</t>
  </si>
  <si>
    <t>(=) dep ejercicio</t>
  </si>
  <si>
    <t>_______________________________________________</t>
  </si>
  <si>
    <t>_________________________________________</t>
  </si>
  <si>
    <t>________________________________________</t>
  </si>
  <si>
    <t>COMPROBACION</t>
  </si>
  <si>
    <t>TOTAL GASTOS EDO RDOS</t>
  </si>
  <si>
    <t>(MENOS)-DEP ACUM EDO RDOS</t>
  </si>
  <si>
    <t>SI CONTEMPLADOS EN EL EDO RDOS</t>
  </si>
  <si>
    <t>(MAS) ACTIVOS</t>
  </si>
  <si>
    <t>NO COMTEMPLADOS EN EL EDO RDOS</t>
  </si>
  <si>
    <t>V/S TOTAL COLUMNA F (F160)</t>
  </si>
  <si>
    <t>gastos edo resultados</t>
  </si>
  <si>
    <t>depreciacion</t>
  </si>
  <si>
    <t>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</si>
</sst>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#,##0.0000_ ;\-#,##0.0000\ "/>
    <numFmt numFmtId="166" formatCode="#,##0.0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8"/>
      <color theme="0"/>
      <name val="Calibri"/>
      <family val="2"/>
      <scheme val="minor"/>
    </font>
    <font>
      <sz val="7"/>
      <color rgb="FF00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0" fontId="5" fillId="0" borderId="15" xfId="0" applyNumberFormat="1" applyFont="1" applyBorder="1" applyAlignment="1">
      <alignment horizontal="center" vertical="center" wrapText="1"/>
    </xf>
    <xf numFmtId="0" fontId="0" fillId="0" borderId="9" xfId="0" applyBorder="1"/>
    <xf numFmtId="0" fontId="5" fillId="0" borderId="15" xfId="0" applyFont="1" applyBorder="1" applyAlignment="1">
      <alignment vertical="center"/>
    </xf>
    <xf numFmtId="164" fontId="5" fillId="0" borderId="5" xfId="1" applyNumberFormat="1" applyFont="1" applyFill="1" applyBorder="1" applyAlignment="1">
      <alignment horizontal="right" vertical="center"/>
    </xf>
    <xf numFmtId="164" fontId="5" fillId="0" borderId="4" xfId="1" applyNumberFormat="1" applyFont="1" applyFill="1" applyBorder="1" applyAlignment="1">
      <alignment horizontal="right" vertical="center"/>
    </xf>
    <xf numFmtId="164" fontId="5" fillId="0" borderId="15" xfId="1" applyNumberFormat="1" applyFont="1" applyFill="1" applyBorder="1" applyAlignment="1" applyProtection="1">
      <alignment horizontal="right" vertical="center"/>
    </xf>
    <xf numFmtId="164" fontId="5" fillId="0" borderId="15" xfId="1" applyNumberFormat="1" applyFont="1" applyFill="1" applyBorder="1" applyAlignment="1">
      <alignment horizontal="right" vertical="center"/>
    </xf>
    <xf numFmtId="40" fontId="5" fillId="0" borderId="15" xfId="1" applyNumberFormat="1" applyFont="1" applyFill="1" applyBorder="1" applyAlignment="1" applyProtection="1">
      <alignment horizontal="right" vertical="center"/>
    </xf>
    <xf numFmtId="164" fontId="0" fillId="3" borderId="0" xfId="0" applyNumberFormat="1" applyFill="1"/>
    <xf numFmtId="4" fontId="0" fillId="4" borderId="13" xfId="0" applyNumberFormat="1" applyFill="1" applyBorder="1"/>
    <xf numFmtId="4" fontId="0" fillId="0" borderId="0" xfId="0" applyNumberFormat="1"/>
    <xf numFmtId="44" fontId="0" fillId="0" borderId="0" xfId="2" applyFont="1"/>
    <xf numFmtId="43" fontId="0" fillId="0" borderId="0" xfId="1" applyFont="1"/>
    <xf numFmtId="164" fontId="5" fillId="0" borderId="0" xfId="1" applyNumberFormat="1" applyFont="1" applyFill="1" applyBorder="1" applyAlignment="1">
      <alignment horizontal="right" vertical="center"/>
    </xf>
    <xf numFmtId="40" fontId="5" fillId="0" borderId="5" xfId="1" applyNumberFormat="1" applyFont="1" applyFill="1" applyBorder="1" applyAlignment="1" applyProtection="1">
      <alignment horizontal="right" vertical="center"/>
    </xf>
    <xf numFmtId="4" fontId="0" fillId="3" borderId="0" xfId="0" applyNumberFormat="1" applyFill="1"/>
    <xf numFmtId="43" fontId="0" fillId="0" borderId="0" xfId="0" applyNumberFormat="1"/>
    <xf numFmtId="0" fontId="6" fillId="0" borderId="15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0" xfId="1" applyNumberFormat="1" applyFont="1" applyFill="1" applyBorder="1" applyAlignment="1" applyProtection="1">
      <alignment horizontal="right" vertical="center"/>
      <protection locked="0"/>
    </xf>
    <xf numFmtId="164" fontId="6" fillId="0" borderId="15" xfId="1" applyNumberFormat="1" applyFont="1" applyFill="1" applyBorder="1" applyAlignment="1" applyProtection="1">
      <alignment horizontal="right" vertical="center"/>
    </xf>
    <xf numFmtId="164" fontId="6" fillId="0" borderId="15" xfId="1" applyNumberFormat="1" applyFont="1" applyFill="1" applyBorder="1" applyAlignment="1" applyProtection="1">
      <alignment horizontal="right" vertical="center"/>
      <protection locked="0"/>
    </xf>
    <xf numFmtId="40" fontId="6" fillId="0" borderId="15" xfId="1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164" fontId="5" fillId="3" borderId="5" xfId="1" applyNumberFormat="1" applyFont="1" applyFill="1" applyBorder="1" applyAlignment="1" applyProtection="1">
      <alignment horizontal="right" vertical="center"/>
    </xf>
    <xf numFmtId="0" fontId="5" fillId="0" borderId="15" xfId="0" applyFont="1" applyBorder="1" applyAlignment="1">
      <alignment vertical="center" wrapText="1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3" fillId="0" borderId="15" xfId="0" applyFont="1" applyBorder="1"/>
    <xf numFmtId="164" fontId="3" fillId="0" borderId="15" xfId="0" applyNumberFormat="1" applyFont="1" applyBorder="1"/>
    <xf numFmtId="164" fontId="0" fillId="0" borderId="0" xfId="0" applyNumberFormat="1" applyAlignment="1">
      <alignment horizontal="center" vertical="center" wrapText="1"/>
    </xf>
    <xf numFmtId="164" fontId="6" fillId="5" borderId="15" xfId="1" applyNumberFormat="1" applyFont="1" applyFill="1" applyBorder="1" applyAlignment="1" applyProtection="1">
      <alignment horizontal="right" vertical="center"/>
      <protection locked="0"/>
    </xf>
    <xf numFmtId="164" fontId="6" fillId="5" borderId="13" xfId="1" applyNumberFormat="1" applyFont="1" applyFill="1" applyBorder="1" applyAlignment="1" applyProtection="1">
      <alignment horizontal="right" vertical="center"/>
      <protection locked="0"/>
    </xf>
    <xf numFmtId="0" fontId="6" fillId="0" borderId="15" xfId="0" applyFont="1" applyBorder="1" applyAlignment="1">
      <alignment horizontal="left" vertical="center" indent="2"/>
    </xf>
    <xf numFmtId="0" fontId="5" fillId="0" borderId="9" xfId="0" applyFont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right" vertical="center"/>
    </xf>
    <xf numFmtId="164" fontId="5" fillId="0" borderId="2" xfId="1" applyNumberFormat="1" applyFont="1" applyFill="1" applyBorder="1" applyAlignment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40" fontId="5" fillId="0" borderId="3" xfId="1" applyNumberFormat="1" applyFont="1" applyFill="1" applyBorder="1" applyAlignment="1" applyProtection="1">
      <alignment horizontal="right" vertical="center"/>
    </xf>
    <xf numFmtId="43" fontId="8" fillId="0" borderId="0" xfId="1" applyFont="1"/>
    <xf numFmtId="0" fontId="6" fillId="0" borderId="15" xfId="0" applyFont="1" applyBorder="1" applyAlignment="1">
      <alignment vertical="center"/>
    </xf>
    <xf numFmtId="4" fontId="0" fillId="5" borderId="0" xfId="0" applyNumberFormat="1" applyFill="1" applyAlignment="1">
      <alignment wrapText="1"/>
    </xf>
    <xf numFmtId="4" fontId="0" fillId="0" borderId="0" xfId="0" applyNumberFormat="1" applyAlignment="1">
      <alignment wrapText="1"/>
    </xf>
    <xf numFmtId="0" fontId="6" fillId="0" borderId="15" xfId="0" applyFont="1" applyBorder="1" applyAlignment="1">
      <alignment vertical="center" wrapText="1"/>
    </xf>
    <xf numFmtId="164" fontId="9" fillId="0" borderId="15" xfId="1" applyNumberFormat="1" applyFont="1" applyFill="1" applyBorder="1" applyAlignment="1" applyProtection="1">
      <alignment horizontal="right" vertical="center"/>
      <protection locked="0"/>
    </xf>
    <xf numFmtId="164" fontId="5" fillId="0" borderId="5" xfId="1" applyNumberFormat="1" applyFont="1" applyFill="1" applyBorder="1" applyAlignment="1" applyProtection="1">
      <alignment horizontal="right" vertical="center"/>
    </xf>
    <xf numFmtId="164" fontId="6" fillId="0" borderId="4" xfId="1" applyNumberFormat="1" applyFont="1" applyFill="1" applyBorder="1" applyAlignment="1" applyProtection="1">
      <alignment horizontal="right" vertical="center"/>
      <protection locked="0"/>
    </xf>
    <xf numFmtId="0" fontId="6" fillId="0" borderId="15" xfId="0" applyFont="1" applyBorder="1" applyAlignment="1">
      <alignment horizontal="left" vertical="center"/>
    </xf>
    <xf numFmtId="164" fontId="6" fillId="0" borderId="5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40" fontId="6" fillId="0" borderId="5" xfId="1" applyNumberFormat="1" applyFont="1" applyFill="1" applyBorder="1" applyAlignment="1" applyProtection="1">
      <alignment horizontal="righ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13" xfId="0" applyFont="1" applyBorder="1" applyAlignment="1">
      <alignment vertical="center"/>
    </xf>
    <xf numFmtId="164" fontId="5" fillId="0" borderId="8" xfId="1" applyNumberFormat="1" applyFont="1" applyFill="1" applyBorder="1" applyAlignment="1">
      <alignment horizontal="right" vertical="center"/>
    </xf>
    <xf numFmtId="164" fontId="5" fillId="0" borderId="7" xfId="1" applyNumberFormat="1" applyFont="1" applyFill="1" applyBorder="1" applyAlignment="1">
      <alignment horizontal="right" vertical="center"/>
    </xf>
    <xf numFmtId="164" fontId="5" fillId="0" borderId="13" xfId="1" applyNumberFormat="1" applyFont="1" applyFill="1" applyBorder="1" applyAlignment="1" applyProtection="1">
      <alignment horizontal="right" vertical="center"/>
    </xf>
    <xf numFmtId="40" fontId="5" fillId="0" borderId="8" xfId="1" applyNumberFormat="1" applyFont="1" applyFill="1" applyBorder="1" applyAlignment="1" applyProtection="1">
      <alignment horizontal="right" vertical="center"/>
    </xf>
    <xf numFmtId="4" fontId="0" fillId="0" borderId="4" xfId="0" applyNumberFormat="1" applyBorder="1"/>
    <xf numFmtId="164" fontId="0" fillId="0" borderId="5" xfId="0" applyNumberFormat="1" applyBorder="1"/>
    <xf numFmtId="0" fontId="10" fillId="0" borderId="0" xfId="0" applyFont="1"/>
    <xf numFmtId="43" fontId="3" fillId="0" borderId="0" xfId="1" applyFont="1"/>
    <xf numFmtId="164" fontId="11" fillId="0" borderId="0" xfId="0" applyNumberFormat="1" applyFont="1"/>
    <xf numFmtId="164" fontId="3" fillId="0" borderId="0" xfId="0" applyNumberFormat="1" applyFont="1"/>
    <xf numFmtId="10" fontId="0" fillId="0" borderId="0" xfId="3" applyNumberFormat="1" applyFont="1"/>
    <xf numFmtId="0" fontId="0" fillId="0" borderId="4" xfId="0" applyBorder="1"/>
    <xf numFmtId="4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165" fontId="12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43" fontId="13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43" fontId="5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164" fontId="16" fillId="6" borderId="1" xfId="0" applyNumberFormat="1" applyFont="1" applyFill="1" applyBorder="1" applyAlignment="1" applyProtection="1">
      <alignment horizontal="left"/>
      <protection locked="0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6" borderId="4" xfId="0" applyFont="1" applyFill="1" applyBorder="1" applyAlignment="1">
      <alignment horizontal="left"/>
    </xf>
    <xf numFmtId="0" fontId="17" fillId="6" borderId="0" xfId="0" applyFont="1" applyFill="1" applyAlignment="1">
      <alignment horizontal="left"/>
    </xf>
    <xf numFmtId="0" fontId="17" fillId="6" borderId="5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 applyProtection="1">
      <alignment horizontal="left"/>
      <protection locked="0"/>
    </xf>
    <xf numFmtId="164" fontId="18" fillId="0" borderId="0" xfId="0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164" fontId="9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0" fillId="6" borderId="6" xfId="0" applyFill="1" applyBorder="1"/>
    <xf numFmtId="0" fontId="0" fillId="6" borderId="7" xfId="0" applyFill="1" applyBorder="1"/>
    <xf numFmtId="0" fontId="0" fillId="6" borderId="7" xfId="0" applyFill="1" applyBorder="1" applyAlignment="1">
      <alignment horizontal="left"/>
    </xf>
    <xf numFmtId="0" fontId="0" fillId="6" borderId="8" xfId="0" applyFill="1" applyBorder="1"/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4" fontId="19" fillId="0" borderId="0" xfId="0" applyNumberFormat="1" applyFont="1"/>
    <xf numFmtId="4" fontId="15" fillId="0" borderId="0" xfId="0" applyNumberFormat="1" applyFont="1" applyProtection="1">
      <protection locked="0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120316</xdr:colOff>
      <xdr:row>1</xdr:row>
      <xdr:rowOff>110289</xdr:rowOff>
    </xdr:from>
    <xdr:to>
      <xdr:col>2</xdr:col>
      <xdr:colOff>1363580</xdr:colOff>
      <xdr:row>4</xdr:row>
      <xdr:rowOff>180474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224E93-CB0F-4906-9D85-6EE70AC4D7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841" y="310314"/>
          <a:ext cx="1243264" cy="641685"/>
        </a:xfrm>
        <a:prstGeom prst="rect">
          <a:avLst/>
        </a:prstGeom>
      </xdr:spPr>
    </xdr:pic>
    <xdr:clientData/>
  </xdr:twoCellAnchor>
  <xdr:twoCellAnchor editAs="oneCell">
    <xdr:from>
      <xdr:col>10</xdr:col>
      <xdr:colOff>1153027</xdr:colOff>
      <xdr:row>90</xdr:row>
      <xdr:rowOff>40104</xdr:rowOff>
    </xdr:from>
    <xdr:to>
      <xdr:col>16</xdr:col>
      <xdr:colOff>307306</xdr:colOff>
      <xdr:row>112</xdr:row>
      <xdr:rowOff>160420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DB0ED9-BB5D-4CD2-8658-75244E773E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0315" t="30432" r="23017" b="21968"/>
        <a:stretch/>
      </xdr:blipFill>
      <xdr:spPr>
        <a:xfrm>
          <a:off x="12697327" y="18461454"/>
          <a:ext cx="6917154" cy="4654216"/>
        </a:xfrm>
        <a:prstGeom prst="rect">
          <a:avLst/>
        </a:prstGeom>
      </xdr:spPr>
    </xdr:pic>
    <xdr:clientData/>
  </xdr:twoCellAnchor>
  <xdr:twoCellAnchor>
    <xdr:from>
      <xdr:col>16</xdr:col>
      <xdr:colOff>741947</xdr:colOff>
      <xdr:row>101</xdr:row>
      <xdr:rowOff>180474</xdr:rowOff>
    </xdr:from>
    <xdr:to>
      <xdr:col>18</xdr:col>
      <xdr:colOff>451184</xdr:colOff>
      <xdr:row>103</xdr:row>
      <xdr:rowOff>110289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81B19593-68FB-4E4A-9029-F3F1F0959403}"/>
            </a:ext>
          </a:extLst>
        </xdr:cNvPr>
        <xdr:cNvSpPr/>
      </xdr:nvSpPr>
      <xdr:spPr>
        <a:xfrm>
          <a:off x="20049122" y="20925924"/>
          <a:ext cx="1271337" cy="3108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912394</xdr:colOff>
      <xdr:row>14</xdr:row>
      <xdr:rowOff>0</xdr:rowOff>
    </xdr:from>
    <xdr:to>
      <xdr:col>10</xdr:col>
      <xdr:colOff>962526</xdr:colOff>
      <xdr:row>18</xdr:row>
      <xdr:rowOff>150395</xdr:rowOff>
    </xdr:to>
    <xdr:sp macro="" textlink="">
      <xdr:nvSpPr>
        <xdr:cNvPr id="5" name="Llamada de flecha a la izquierda 2">
          <a:extLst>
            <a:ext uri="{FF2B5EF4-FFF2-40B4-BE49-F238E27FC236}">
              <a16:creationId xmlns:a16="http://schemas.microsoft.com/office/drawing/2014/main" id="{97B6AC3D-DB7D-421D-8510-DCB001841C77}"/>
            </a:ext>
          </a:extLst>
        </xdr:cNvPr>
        <xdr:cNvSpPr/>
      </xdr:nvSpPr>
      <xdr:spPr>
        <a:xfrm>
          <a:off x="10256419" y="2828925"/>
          <a:ext cx="2250407" cy="912395"/>
        </a:xfrm>
        <a:prstGeom prst="leftArrowCallout">
          <a:avLst>
            <a:gd name="adj1" fmla="val 27198"/>
            <a:gd name="adj2" fmla="val 26099"/>
            <a:gd name="adj3" fmla="val 25000"/>
            <a:gd name="adj4" fmla="val 81804"/>
          </a:avLst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400" b="1"/>
            <a:t>COLUMNA D</a:t>
          </a:r>
        </a:p>
        <a:p>
          <a:pPr algn="l"/>
          <a:endParaRPr lang="es-MX" sz="1100"/>
        </a:p>
        <a:p>
          <a:pPr algn="l"/>
          <a:r>
            <a:rPr lang="es-MX" sz="1100"/>
            <a:t>SIN "()"    = TRASPASOS</a:t>
          </a:r>
        </a:p>
        <a:p>
          <a:pPr algn="l"/>
          <a:r>
            <a:rPr lang="es-MX" sz="1100"/>
            <a:t>CON "()" = AMPLIACIONES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9">
          <cell r="A9" t="str">
            <v>Del 1 de enero al 31 de diciembre del 2023 (b)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>
        <row r="91">
          <cell r="D91">
            <v>14010640.890000001</v>
          </cell>
        </row>
        <row r="92">
          <cell r="D92">
            <v>14010640.890000001</v>
          </cell>
        </row>
        <row r="94">
          <cell r="D94">
            <v>873752952.57000005</v>
          </cell>
        </row>
      </sheetData>
      <sheetData sheetId="6"/>
      <sheetData sheetId="7">
        <row r="3">
          <cell r="F3">
            <v>16382059.74</v>
          </cell>
        </row>
        <row r="159">
          <cell r="F159">
            <v>7979.64</v>
          </cell>
        </row>
        <row r="170">
          <cell r="F170">
            <v>29817.599999999999</v>
          </cell>
        </row>
        <row r="176">
          <cell r="F176">
            <v>24336.799999999999</v>
          </cell>
        </row>
        <row r="177">
          <cell r="F177">
            <v>16994</v>
          </cell>
        </row>
        <row r="178">
          <cell r="F178">
            <v>16994</v>
          </cell>
        </row>
        <row r="186">
          <cell r="F186">
            <v>46032.28</v>
          </cell>
        </row>
        <row r="187">
          <cell r="F187">
            <v>16936</v>
          </cell>
        </row>
        <row r="196">
          <cell r="F196">
            <v>22835.759999999998</v>
          </cell>
        </row>
        <row r="197">
          <cell r="F197">
            <v>22835.759999999998</v>
          </cell>
        </row>
        <row r="200">
          <cell r="F200">
            <v>22865.919999999998</v>
          </cell>
        </row>
        <row r="201">
          <cell r="F201">
            <v>22865.919999999998</v>
          </cell>
        </row>
        <row r="348">
          <cell r="F348">
            <v>14574.99</v>
          </cell>
        </row>
        <row r="364">
          <cell r="G364">
            <v>131331.20000000001</v>
          </cell>
        </row>
        <row r="375">
          <cell r="F375">
            <v>14493.41</v>
          </cell>
        </row>
        <row r="376">
          <cell r="F376">
            <v>24700</v>
          </cell>
        </row>
        <row r="377">
          <cell r="F377">
            <v>20987.88</v>
          </cell>
        </row>
        <row r="378">
          <cell r="F378">
            <v>17490.48</v>
          </cell>
        </row>
        <row r="468">
          <cell r="F468">
            <v>14495.36</v>
          </cell>
        </row>
        <row r="484">
          <cell r="F484">
            <v>42518.64</v>
          </cell>
        </row>
        <row r="503">
          <cell r="G503">
            <v>64500.06</v>
          </cell>
        </row>
        <row r="545">
          <cell r="F545">
            <v>20615.98</v>
          </cell>
        </row>
        <row r="564">
          <cell r="F564">
            <v>64500.06</v>
          </cell>
        </row>
        <row r="578">
          <cell r="F578" t="str">
            <v>Cargos</v>
          </cell>
          <cell r="I578" t="str">
            <v>MARZO</v>
          </cell>
        </row>
        <row r="580">
          <cell r="F580">
            <v>0</v>
          </cell>
        </row>
        <row r="582">
          <cell r="F582">
            <v>0</v>
          </cell>
        </row>
        <row r="583">
          <cell r="F583">
            <v>0</v>
          </cell>
        </row>
        <row r="585">
          <cell r="F585">
            <v>0</v>
          </cell>
        </row>
        <row r="587">
          <cell r="F587">
            <v>0</v>
          </cell>
        </row>
        <row r="589">
          <cell r="F589">
            <v>0</v>
          </cell>
        </row>
        <row r="591">
          <cell r="F591">
            <v>2700.48</v>
          </cell>
          <cell r="I591" t="str">
            <v>e6</v>
          </cell>
        </row>
        <row r="592">
          <cell r="F592">
            <v>24940</v>
          </cell>
          <cell r="I592" t="str">
            <v>e6</v>
          </cell>
        </row>
        <row r="593">
          <cell r="F593">
            <v>27640.48</v>
          </cell>
        </row>
        <row r="595">
          <cell r="F595">
            <v>0</v>
          </cell>
        </row>
        <row r="597">
          <cell r="F597">
            <v>0</v>
          </cell>
        </row>
        <row r="599">
          <cell r="F599">
            <v>0</v>
          </cell>
        </row>
        <row r="600">
          <cell r="F600">
            <v>27640.48</v>
          </cell>
        </row>
        <row r="602">
          <cell r="F602">
            <v>0</v>
          </cell>
        </row>
        <row r="604">
          <cell r="F604">
            <v>0</v>
          </cell>
        </row>
        <row r="606">
          <cell r="F606">
            <v>0</v>
          </cell>
        </row>
        <row r="608">
          <cell r="F608">
            <v>0</v>
          </cell>
        </row>
        <row r="610">
          <cell r="F610">
            <v>0</v>
          </cell>
        </row>
        <row r="612">
          <cell r="F612">
            <v>0</v>
          </cell>
        </row>
        <row r="614">
          <cell r="F614">
            <v>0</v>
          </cell>
        </row>
        <row r="616">
          <cell r="F616">
            <v>0</v>
          </cell>
        </row>
        <row r="618">
          <cell r="F618">
            <v>0</v>
          </cell>
        </row>
        <row r="620">
          <cell r="F620">
            <v>0</v>
          </cell>
        </row>
        <row r="622">
          <cell r="F622">
            <v>0</v>
          </cell>
        </row>
        <row r="623">
          <cell r="F623">
            <v>0</v>
          </cell>
        </row>
        <row r="625">
          <cell r="F625">
            <v>6222300</v>
          </cell>
          <cell r="I625" t="str">
            <v>e4</v>
          </cell>
        </row>
        <row r="626">
          <cell r="F626">
            <v>6222300</v>
          </cell>
        </row>
        <row r="628">
          <cell r="F628">
            <v>0</v>
          </cell>
        </row>
        <row r="629">
          <cell r="F629">
            <v>6222300</v>
          </cell>
        </row>
        <row r="631">
          <cell r="F631">
            <v>85677.6</v>
          </cell>
          <cell r="I631" t="str">
            <v>e1</v>
          </cell>
        </row>
        <row r="632">
          <cell r="F632">
            <v>920344</v>
          </cell>
          <cell r="I632" t="str">
            <v>e1</v>
          </cell>
        </row>
        <row r="633">
          <cell r="F633">
            <v>1006021.6</v>
          </cell>
        </row>
        <row r="638">
          <cell r="I638" t="str">
            <v>FEBRERO</v>
          </cell>
        </row>
        <row r="639">
          <cell r="F639">
            <v>0</v>
          </cell>
        </row>
        <row r="641">
          <cell r="F641">
            <v>0</v>
          </cell>
        </row>
        <row r="642">
          <cell r="F642">
            <v>0</v>
          </cell>
        </row>
        <row r="644">
          <cell r="F644">
            <v>3999.96</v>
          </cell>
          <cell r="I644" t="str">
            <v>e6</v>
          </cell>
        </row>
        <row r="645">
          <cell r="F645">
            <v>3999.96</v>
          </cell>
        </row>
        <row r="647">
          <cell r="F647">
            <v>0</v>
          </cell>
        </row>
        <row r="649">
          <cell r="F649">
            <v>57884</v>
          </cell>
          <cell r="I649" t="str">
            <v>e6</v>
          </cell>
        </row>
        <row r="650">
          <cell r="F650">
            <v>57884</v>
          </cell>
        </row>
        <row r="652">
          <cell r="F652">
            <v>34482.879999999997</v>
          </cell>
          <cell r="I652" t="str">
            <v>e6</v>
          </cell>
        </row>
        <row r="653">
          <cell r="F653">
            <v>28998.84</v>
          </cell>
          <cell r="I653" t="str">
            <v>e6</v>
          </cell>
        </row>
        <row r="654">
          <cell r="F654">
            <v>26586.1</v>
          </cell>
          <cell r="I654" t="str">
            <v>e6</v>
          </cell>
        </row>
        <row r="655">
          <cell r="F655">
            <v>90067.82</v>
          </cell>
        </row>
        <row r="657">
          <cell r="F657">
            <v>0</v>
          </cell>
        </row>
        <row r="659">
          <cell r="F659">
            <v>0</v>
          </cell>
        </row>
        <row r="661">
          <cell r="F661">
            <v>0</v>
          </cell>
        </row>
        <row r="662">
          <cell r="F662">
            <v>151951.78</v>
          </cell>
        </row>
        <row r="664">
          <cell r="F664">
            <v>4722.3599999999997</v>
          </cell>
          <cell r="I664" t="str">
            <v>e1</v>
          </cell>
        </row>
        <row r="665">
          <cell r="F665">
            <v>4722.3599999999997</v>
          </cell>
        </row>
        <row r="667">
          <cell r="F667">
            <v>0</v>
          </cell>
        </row>
        <row r="669">
          <cell r="F669">
            <v>0</v>
          </cell>
        </row>
        <row r="671">
          <cell r="F671">
            <v>0</v>
          </cell>
        </row>
        <row r="673">
          <cell r="F673">
            <v>0</v>
          </cell>
        </row>
        <row r="675">
          <cell r="F675">
            <v>0</v>
          </cell>
        </row>
        <row r="677">
          <cell r="F677">
            <v>0</v>
          </cell>
        </row>
        <row r="679">
          <cell r="F679">
            <v>0</v>
          </cell>
        </row>
        <row r="681">
          <cell r="F681">
            <v>0</v>
          </cell>
        </row>
        <row r="683">
          <cell r="F683">
            <v>0</v>
          </cell>
        </row>
        <row r="685">
          <cell r="F685">
            <v>0</v>
          </cell>
        </row>
        <row r="686">
          <cell r="F686">
            <v>4722.3599999999997</v>
          </cell>
        </row>
        <row r="688">
          <cell r="F688">
            <v>401900</v>
          </cell>
          <cell r="I688" t="str">
            <v>e4</v>
          </cell>
        </row>
        <row r="689">
          <cell r="F689">
            <v>734900</v>
          </cell>
          <cell r="I689" t="str">
            <v>e4</v>
          </cell>
        </row>
        <row r="690">
          <cell r="F690">
            <v>1136800</v>
          </cell>
        </row>
        <row r="692">
          <cell r="F692">
            <v>0</v>
          </cell>
        </row>
        <row r="693">
          <cell r="F693">
            <v>1136800</v>
          </cell>
        </row>
        <row r="695">
          <cell r="F695">
            <v>0</v>
          </cell>
        </row>
        <row r="696">
          <cell r="F696">
            <v>0</v>
          </cell>
        </row>
        <row r="740">
          <cell r="F740">
            <v>4974.08</v>
          </cell>
        </row>
        <row r="741">
          <cell r="F741">
            <v>3561.2</v>
          </cell>
        </row>
        <row r="752">
          <cell r="F752">
            <v>8421.6</v>
          </cell>
        </row>
      </sheetData>
      <sheetData sheetId="8"/>
      <sheetData sheetId="9">
        <row r="70">
          <cell r="H70">
            <v>207727491.14000005</v>
          </cell>
        </row>
        <row r="80">
          <cell r="H80">
            <v>44550587.270000003</v>
          </cell>
        </row>
        <row r="90">
          <cell r="H90">
            <v>23895931.600000001</v>
          </cell>
        </row>
        <row r="92">
          <cell r="G92">
            <v>576922898.21000004</v>
          </cell>
        </row>
      </sheetData>
      <sheetData sheetId="10"/>
      <sheetData sheetId="11">
        <row r="87">
          <cell r="J87">
            <v>1066389.5</v>
          </cell>
          <cell r="O87">
            <v>14010640.890000001</v>
          </cell>
        </row>
        <row r="91">
          <cell r="O91">
            <v>873752952.57000005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5">
          <cell r="J25" t="str">
            <v>AMPLIACIONES</v>
          </cell>
        </row>
        <row r="26">
          <cell r="J26">
            <v>191794949.10000002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8C8CB-9C9E-4AC2-BBFD-599653EC81B6}">
  <sheetPr>
    <tabColor rgb="FFFFFF00"/>
    <pageSetUpPr fitToPage="1"/>
  </sheetPr>
  <dimension ref="A1:AD196"/>
  <sheetViews>
    <sheetView tabSelected="1" topLeftCell="C1" zoomScaleNormal="100" workbookViewId="0">
      <selection activeCell="C4" sqref="C4:I4"/>
    </sheetView>
  </sheetViews>
  <sheetFormatPr baseColWidth="10" defaultRowHeight="15" x14ac:dyDescent="0.25"/>
  <cols>
    <col min="1" max="1" width="5" style="1" bestFit="1" customWidth="1"/>
    <col min="2" max="2" width="0.85546875" style="1" customWidth="1"/>
    <col min="3" max="3" width="57.42578125" style="2" customWidth="1"/>
    <col min="4" max="4" width="18.7109375" style="2" bestFit="1" customWidth="1"/>
    <col min="5" max="5" width="15.42578125" style="2" customWidth="1"/>
    <col min="6" max="6" width="13.7109375" style="2" customWidth="1"/>
    <col min="7" max="7" width="15.28515625" style="2" customWidth="1"/>
    <col min="8" max="9" width="13.7109375" style="2" bestFit="1" customWidth="1"/>
    <col min="10" max="10" width="19.28515625" customWidth="1"/>
    <col min="11" max="11" width="20.5703125" customWidth="1"/>
    <col min="12" max="12" width="36.42578125" bestFit="1" customWidth="1"/>
    <col min="13" max="13" width="16.85546875" customWidth="1"/>
    <col min="14" max="14" width="15.5703125" customWidth="1"/>
    <col min="15" max="15" width="15.28515625" customWidth="1"/>
    <col min="16" max="23" width="11.7109375" customWidth="1"/>
    <col min="24" max="24" width="5.7109375" customWidth="1"/>
    <col min="25" max="25" width="28.28515625" customWidth="1"/>
    <col min="26" max="26" width="12.140625" bestFit="1" customWidth="1"/>
    <col min="28" max="28" width="13.140625" bestFit="1" customWidth="1"/>
  </cols>
  <sheetData>
    <row r="1" spans="1:13" ht="15.75" thickBot="1" x14ac:dyDescent="0.3"/>
    <row r="2" spans="1:13" x14ac:dyDescent="0.25">
      <c r="C2" s="3" t="s">
        <v>0</v>
      </c>
      <c r="D2" s="4"/>
      <c r="E2" s="4"/>
      <c r="F2" s="4"/>
      <c r="G2" s="4"/>
      <c r="H2" s="4"/>
      <c r="I2" s="5"/>
      <c r="K2" t="s">
        <v>1</v>
      </c>
    </row>
    <row r="3" spans="1:13" x14ac:dyDescent="0.25">
      <c r="C3" s="6" t="s">
        <v>2</v>
      </c>
      <c r="D3" s="7"/>
      <c r="E3" s="7"/>
      <c r="F3" s="7"/>
      <c r="G3" s="7"/>
      <c r="H3" s="7"/>
      <c r="I3" s="8"/>
    </row>
    <row r="4" spans="1:13" x14ac:dyDescent="0.25">
      <c r="C4" s="6" t="s">
        <v>3</v>
      </c>
      <c r="D4" s="7"/>
      <c r="E4" s="7"/>
      <c r="F4" s="7"/>
      <c r="G4" s="7"/>
      <c r="H4" s="7"/>
      <c r="I4" s="8"/>
      <c r="K4" t="s">
        <v>4</v>
      </c>
    </row>
    <row r="5" spans="1:13" x14ac:dyDescent="0.25">
      <c r="C5" s="9" t="str">
        <f>'[1]Hoja datos'!A9</f>
        <v>Del 1 de enero al 31 de diciembre del 2023 (b)</v>
      </c>
      <c r="D5" s="10"/>
      <c r="E5" s="10"/>
      <c r="F5" s="10"/>
      <c r="G5" s="10"/>
      <c r="H5" s="10"/>
      <c r="I5" s="11"/>
      <c r="K5" t="s">
        <v>5</v>
      </c>
    </row>
    <row r="6" spans="1:13" ht="15.75" thickBot="1" x14ac:dyDescent="0.3">
      <c r="C6" s="12" t="s">
        <v>6</v>
      </c>
      <c r="D6" s="13"/>
      <c r="E6" s="13"/>
      <c r="F6" s="13"/>
      <c r="G6" s="13"/>
      <c r="H6" s="13"/>
      <c r="I6" s="14"/>
    </row>
    <row r="7" spans="1:13" ht="15.75" thickBot="1" x14ac:dyDescent="0.3">
      <c r="C7" s="15" t="s">
        <v>7</v>
      </c>
      <c r="D7" s="16" t="s">
        <v>8</v>
      </c>
      <c r="E7" s="17"/>
      <c r="F7" s="17"/>
      <c r="G7" s="17"/>
      <c r="H7" s="18"/>
      <c r="I7" s="19" t="s">
        <v>9</v>
      </c>
    </row>
    <row r="8" spans="1:13" ht="24.75" thickBot="1" x14ac:dyDescent="0.3">
      <c r="C8" s="20"/>
      <c r="D8" s="21" t="s">
        <v>10</v>
      </c>
      <c r="E8" s="22" t="s">
        <v>11</v>
      </c>
      <c r="F8" s="23" t="s">
        <v>12</v>
      </c>
      <c r="G8" s="21" t="s">
        <v>13</v>
      </c>
      <c r="H8" s="21" t="s">
        <v>14</v>
      </c>
      <c r="I8" s="24"/>
    </row>
    <row r="9" spans="1:13" x14ac:dyDescent="0.25">
      <c r="C9" s="25"/>
      <c r="D9" s="26"/>
      <c r="E9" s="27"/>
      <c r="F9" s="28"/>
      <c r="G9" s="26"/>
      <c r="H9" s="26"/>
      <c r="I9" s="29"/>
      <c r="K9" s="30" t="str">
        <f>'[1]13.EAI (rubro ingresos)EP1'!J25</f>
        <v>AMPLIACIONES</v>
      </c>
    </row>
    <row r="10" spans="1:13" ht="15.75" thickBot="1" x14ac:dyDescent="0.3">
      <c r="C10" s="31" t="s">
        <v>15</v>
      </c>
      <c r="D10" s="32">
        <f>SUM(D12,D20,D30,D40,D50,D60,D64,D73,D77)</f>
        <v>358289585.99000001</v>
      </c>
      <c r="E10" s="33">
        <f>SUM(E12,E20,E30,E40,E50,E60,E64,E73,E77)</f>
        <v>153215038.55000001</v>
      </c>
      <c r="F10" s="34">
        <f t="shared" ref="F10:I10" si="0">SUM(F12,F20,F30,F40,F50,F60,F64,F73,F77)</f>
        <v>511504624.54000008</v>
      </c>
      <c r="G10" s="35">
        <f>SUM(G12,G20,G30,G40,G50,G60,G64,G73,G77)</f>
        <v>490633234.69999993</v>
      </c>
      <c r="H10" s="35">
        <f t="shared" si="0"/>
        <v>480813036</v>
      </c>
      <c r="I10" s="36">
        <f t="shared" si="0"/>
        <v>20871389.840000052</v>
      </c>
      <c r="J10" s="37">
        <f>E10+E85-K10</f>
        <v>0</v>
      </c>
      <c r="K10" s="38">
        <f>'[1]13.EAI (rubro ingresos)EP1'!J26</f>
        <v>191794949.10000002</v>
      </c>
      <c r="L10" s="39">
        <f>+K10-E85</f>
        <v>153215038.55000001</v>
      </c>
      <c r="M10" s="40">
        <f>+L10-E10</f>
        <v>0</v>
      </c>
    </row>
    <row r="11" spans="1:13" x14ac:dyDescent="0.25">
      <c r="C11" s="31"/>
      <c r="D11" s="32"/>
      <c r="E11" s="33"/>
      <c r="F11" s="34"/>
      <c r="G11" s="35"/>
      <c r="H11" s="35"/>
      <c r="I11" s="36"/>
      <c r="K11" s="41"/>
    </row>
    <row r="12" spans="1:13" x14ac:dyDescent="0.25">
      <c r="C12" s="31" t="s">
        <v>16</v>
      </c>
      <c r="D12" s="32">
        <f>SUM(D13:D19)</f>
        <v>189367907.23999998</v>
      </c>
      <c r="E12" s="42">
        <f>SUM(E13:E19)</f>
        <v>18900009.220000006</v>
      </c>
      <c r="F12" s="34">
        <f t="shared" ref="F12:I12" si="1">SUM(F13:F19)</f>
        <v>208267916.46000001</v>
      </c>
      <c r="G12" s="32">
        <f>SUM(G13:G19)</f>
        <v>195805354.22</v>
      </c>
      <c r="H12" s="32">
        <f t="shared" si="1"/>
        <v>190896746.09</v>
      </c>
      <c r="I12" s="43">
        <f t="shared" si="1"/>
        <v>12462562.239999998</v>
      </c>
      <c r="J12" s="44">
        <f>'[1]BALANZA ENE-DIC 2023'!H70-G12-G86</f>
        <v>4.6566128730773926E-8</v>
      </c>
      <c r="K12" s="45"/>
    </row>
    <row r="13" spans="1:13" x14ac:dyDescent="0.25">
      <c r="A13" s="1">
        <v>1100</v>
      </c>
      <c r="C13" s="46" t="s">
        <v>17</v>
      </c>
      <c r="D13" s="47">
        <v>88237518.209999979</v>
      </c>
      <c r="E13" s="48">
        <v>-14311084.059999999</v>
      </c>
      <c r="F13" s="49">
        <f>D13+E13</f>
        <v>73926434.149999976</v>
      </c>
      <c r="G13" s="50">
        <v>73889899.409999996</v>
      </c>
      <c r="H13" s="50">
        <f t="shared" ref="H13:H19" si="2">G13</f>
        <v>73889899.409999996</v>
      </c>
      <c r="I13" s="51">
        <f>F13-G13</f>
        <v>36534.739999979734</v>
      </c>
    </row>
    <row r="14" spans="1:13" x14ac:dyDescent="0.25">
      <c r="A14" s="1">
        <v>1200</v>
      </c>
      <c r="C14" s="46" t="s">
        <v>18</v>
      </c>
      <c r="D14" s="47">
        <v>28612733.479999997</v>
      </c>
      <c r="E14" s="48">
        <v>21687946.729999997</v>
      </c>
      <c r="F14" s="49">
        <f t="shared" ref="F14:F19" si="3">D14+E14</f>
        <v>50300680.209999993</v>
      </c>
      <c r="G14" s="50">
        <v>50245881.579999998</v>
      </c>
      <c r="H14" s="50">
        <f t="shared" si="2"/>
        <v>50245881.579999998</v>
      </c>
      <c r="I14" s="51">
        <f t="shared" ref="I14:I19" si="4">F14-G14</f>
        <v>54798.629999995232</v>
      </c>
      <c r="J14" s="52"/>
    </row>
    <row r="15" spans="1:13" x14ac:dyDescent="0.25">
      <c r="A15" s="1">
        <v>1300</v>
      </c>
      <c r="C15" s="46" t="s">
        <v>19</v>
      </c>
      <c r="D15" s="47">
        <v>34399129.170000009</v>
      </c>
      <c r="E15" s="48">
        <v>9369318.2600000054</v>
      </c>
      <c r="F15" s="49">
        <f t="shared" si="3"/>
        <v>43768447.430000015</v>
      </c>
      <c r="G15" s="50">
        <v>39904185.389999993</v>
      </c>
      <c r="H15" s="50">
        <f t="shared" si="2"/>
        <v>39904185.389999993</v>
      </c>
      <c r="I15" s="51">
        <f t="shared" si="4"/>
        <v>3864262.0400000215</v>
      </c>
      <c r="J15" s="41"/>
    </row>
    <row r="16" spans="1:13" x14ac:dyDescent="0.25">
      <c r="A16" s="1">
        <v>1400</v>
      </c>
      <c r="C16" s="46" t="s">
        <v>20</v>
      </c>
      <c r="D16" s="47">
        <v>29163984.380000003</v>
      </c>
      <c r="E16" s="48">
        <v>-805456.86999999976</v>
      </c>
      <c r="F16" s="49">
        <f t="shared" si="3"/>
        <v>28358527.510000002</v>
      </c>
      <c r="G16" s="50">
        <v>22822974.280000001</v>
      </c>
      <c r="H16" s="50">
        <f>G16-4908608.13</f>
        <v>17914366.150000002</v>
      </c>
      <c r="I16" s="51">
        <f t="shared" si="4"/>
        <v>5535553.2300000004</v>
      </c>
      <c r="J16" s="45"/>
    </row>
    <row r="17" spans="1:11" x14ac:dyDescent="0.25">
      <c r="A17" s="1">
        <v>1500</v>
      </c>
      <c r="C17" s="46" t="s">
        <v>21</v>
      </c>
      <c r="D17" s="47">
        <v>6938900</v>
      </c>
      <c r="E17" s="48">
        <v>2943118.3900000015</v>
      </c>
      <c r="F17" s="49">
        <f t="shared" si="3"/>
        <v>9882018.3900000006</v>
      </c>
      <c r="G17" s="50">
        <v>7345890.0200000005</v>
      </c>
      <c r="H17" s="50">
        <f t="shared" si="2"/>
        <v>7345890.0200000005</v>
      </c>
      <c r="I17" s="51">
        <f t="shared" si="4"/>
        <v>2536128.37</v>
      </c>
    </row>
    <row r="18" spans="1:11" x14ac:dyDescent="0.25">
      <c r="A18" s="1">
        <v>1600</v>
      </c>
      <c r="C18" s="46" t="s">
        <v>22</v>
      </c>
      <c r="D18" s="47">
        <v>0</v>
      </c>
      <c r="E18" s="48">
        <v>0</v>
      </c>
      <c r="F18" s="49">
        <f t="shared" si="3"/>
        <v>0</v>
      </c>
      <c r="G18" s="50">
        <v>0</v>
      </c>
      <c r="H18" s="50">
        <f t="shared" si="2"/>
        <v>0</v>
      </c>
      <c r="I18" s="51">
        <f t="shared" si="4"/>
        <v>0</v>
      </c>
    </row>
    <row r="19" spans="1:11" x14ac:dyDescent="0.25">
      <c r="A19" s="1">
        <v>1700</v>
      </c>
      <c r="C19" s="46" t="s">
        <v>23</v>
      </c>
      <c r="D19" s="47">
        <v>2015642</v>
      </c>
      <c r="E19" s="48">
        <v>16166.769999999902</v>
      </c>
      <c r="F19" s="49">
        <f t="shared" si="3"/>
        <v>2031808.77</v>
      </c>
      <c r="G19" s="50">
        <v>1596523.54</v>
      </c>
      <c r="H19" s="50">
        <f t="shared" si="2"/>
        <v>1596523.54</v>
      </c>
      <c r="I19" s="51">
        <f t="shared" si="4"/>
        <v>435285.23</v>
      </c>
    </row>
    <row r="20" spans="1:11" x14ac:dyDescent="0.25">
      <c r="C20" s="31" t="s">
        <v>24</v>
      </c>
      <c r="D20" s="32">
        <f>SUM(D21:D29)</f>
        <v>8279141.9699999997</v>
      </c>
      <c r="E20" s="42">
        <f t="shared" ref="E20:I20" si="5">SUM(E21:E29)</f>
        <v>7301852.9800000023</v>
      </c>
      <c r="F20" s="34">
        <f t="shared" si="5"/>
        <v>15580994.950000003</v>
      </c>
      <c r="G20" s="32">
        <f>SUM(G21:G29)</f>
        <v>14742945.92</v>
      </c>
      <c r="H20" s="32">
        <f t="shared" si="5"/>
        <v>14344559.049999999</v>
      </c>
      <c r="I20" s="43">
        <f t="shared" si="5"/>
        <v>838049.03000000236</v>
      </c>
      <c r="J20" s="53">
        <f>'[1]BALANZA ENE-DIC 2023'!H90-'41.EAEPED (COG)(LDF5) '!G20-'41.EAEPED (COG)(LDF5) '!G94</f>
        <v>643184.68000000156</v>
      </c>
      <c r="K20">
        <v>5496698.3600000003</v>
      </c>
    </row>
    <row r="21" spans="1:11" ht="24" x14ac:dyDescent="0.25">
      <c r="A21" s="1">
        <v>2100</v>
      </c>
      <c r="C21" s="46" t="s">
        <v>25</v>
      </c>
      <c r="D21" s="47">
        <v>2792919.94</v>
      </c>
      <c r="E21" s="48">
        <v>1156209.8000000017</v>
      </c>
      <c r="F21" s="49">
        <f t="shared" ref="F21:F29" si="6">D21+E21</f>
        <v>3949129.7400000016</v>
      </c>
      <c r="G21" s="50">
        <v>3675132.0199999991</v>
      </c>
      <c r="H21" s="50">
        <f>G21-26510.35</f>
        <v>3648621.669999999</v>
      </c>
      <c r="I21" s="51">
        <f t="shared" ref="I21:I29" si="7">F21-G21</f>
        <v>273997.72000000253</v>
      </c>
    </row>
    <row r="22" spans="1:11" x14ac:dyDescent="0.25">
      <c r="A22" s="1">
        <v>2200</v>
      </c>
      <c r="C22" s="46" t="s">
        <v>26</v>
      </c>
      <c r="D22" s="47">
        <v>95862.2</v>
      </c>
      <c r="E22" s="48">
        <v>2091791.8299999996</v>
      </c>
      <c r="F22" s="49">
        <f t="shared" si="6"/>
        <v>2187654.0299999998</v>
      </c>
      <c r="G22" s="50">
        <v>2152039.5700000003</v>
      </c>
      <c r="H22" s="50">
        <f t="shared" ref="H22:H28" si="8">G22</f>
        <v>2152039.5700000003</v>
      </c>
      <c r="I22" s="51">
        <f t="shared" si="7"/>
        <v>35614.459999999497</v>
      </c>
      <c r="K22" s="52"/>
    </row>
    <row r="23" spans="1:11" x14ac:dyDescent="0.25">
      <c r="A23" s="1">
        <v>2300</v>
      </c>
      <c r="C23" s="46" t="s">
        <v>27</v>
      </c>
      <c r="D23" s="47">
        <v>463730</v>
      </c>
      <c r="E23" s="48">
        <v>-207556.71</v>
      </c>
      <c r="F23" s="49">
        <f t="shared" si="6"/>
        <v>256173.29</v>
      </c>
      <c r="G23" s="50">
        <v>256173.29</v>
      </c>
      <c r="H23" s="50">
        <f t="shared" si="8"/>
        <v>256173.29</v>
      </c>
      <c r="I23" s="51">
        <f t="shared" si="7"/>
        <v>0</v>
      </c>
    </row>
    <row r="24" spans="1:11" x14ac:dyDescent="0.25">
      <c r="A24" s="1">
        <v>2400</v>
      </c>
      <c r="C24" s="46" t="s">
        <v>28</v>
      </c>
      <c r="D24" s="47">
        <v>125516.38</v>
      </c>
      <c r="E24" s="48">
        <v>523338.8000000001</v>
      </c>
      <c r="F24" s="49">
        <f t="shared" si="6"/>
        <v>648855.18000000017</v>
      </c>
      <c r="G24" s="50">
        <v>648506.21</v>
      </c>
      <c r="H24" s="50">
        <f>G24-13584.99</f>
        <v>634921.22</v>
      </c>
      <c r="I24" s="51">
        <f t="shared" si="7"/>
        <v>348.97000000020489</v>
      </c>
    </row>
    <row r="25" spans="1:11" x14ac:dyDescent="0.25">
      <c r="A25" s="1">
        <v>2500</v>
      </c>
      <c r="C25" s="46" t="s">
        <v>29</v>
      </c>
      <c r="D25" s="47">
        <v>1649279.84</v>
      </c>
      <c r="E25" s="48">
        <v>-705444.16999999993</v>
      </c>
      <c r="F25" s="49">
        <f t="shared" si="6"/>
        <v>943835.67000000016</v>
      </c>
      <c r="G25" s="50">
        <v>801293.92999999993</v>
      </c>
      <c r="H25" s="50">
        <f t="shared" si="8"/>
        <v>801293.92999999993</v>
      </c>
      <c r="I25" s="51">
        <f t="shared" si="7"/>
        <v>142541.74000000022</v>
      </c>
    </row>
    <row r="26" spans="1:11" x14ac:dyDescent="0.25">
      <c r="A26" s="1">
        <v>2600</v>
      </c>
      <c r="C26" s="46" t="s">
        <v>30</v>
      </c>
      <c r="D26" s="47">
        <v>2049918.06</v>
      </c>
      <c r="E26" s="48">
        <v>2152165.7600000002</v>
      </c>
      <c r="F26" s="49">
        <f t="shared" si="6"/>
        <v>4202083.82</v>
      </c>
      <c r="G26" s="50">
        <v>4036354.88</v>
      </c>
      <c r="H26" s="50">
        <f t="shared" si="8"/>
        <v>4036354.88</v>
      </c>
      <c r="I26" s="51">
        <f t="shared" si="7"/>
        <v>165728.94000000041</v>
      </c>
    </row>
    <row r="27" spans="1:11" ht="24" x14ac:dyDescent="0.25">
      <c r="A27" s="1">
        <v>2700</v>
      </c>
      <c r="C27" s="46" t="s">
        <v>31</v>
      </c>
      <c r="D27" s="47">
        <v>638533.42000000004</v>
      </c>
      <c r="E27" s="48">
        <v>727204.12000000011</v>
      </c>
      <c r="F27" s="49">
        <f t="shared" si="6"/>
        <v>1365737.54</v>
      </c>
      <c r="G27" s="50">
        <v>1170683.2200000002</v>
      </c>
      <c r="H27" s="50">
        <f>G27-345160.32</f>
        <v>825522.90000000014</v>
      </c>
      <c r="I27" s="51">
        <f t="shared" si="7"/>
        <v>195054.31999999983</v>
      </c>
    </row>
    <row r="28" spans="1:11" x14ac:dyDescent="0.25">
      <c r="A28" s="1">
        <v>2800</v>
      </c>
      <c r="C28" s="46" t="s">
        <v>32</v>
      </c>
      <c r="D28" s="47">
        <v>0</v>
      </c>
      <c r="E28" s="48">
        <v>0</v>
      </c>
      <c r="F28" s="49">
        <f t="shared" si="6"/>
        <v>0</v>
      </c>
      <c r="G28" s="50">
        <v>0</v>
      </c>
      <c r="H28" s="50">
        <f t="shared" si="8"/>
        <v>0</v>
      </c>
      <c r="I28" s="51">
        <f t="shared" si="7"/>
        <v>0</v>
      </c>
    </row>
    <row r="29" spans="1:11" x14ac:dyDescent="0.25">
      <c r="A29" s="1">
        <v>2900</v>
      </c>
      <c r="C29" s="46" t="s">
        <v>33</v>
      </c>
      <c r="D29" s="47">
        <v>463382.13</v>
      </c>
      <c r="E29" s="48">
        <v>1564143.5499999996</v>
      </c>
      <c r="F29" s="49">
        <f t="shared" si="6"/>
        <v>2027525.6799999997</v>
      </c>
      <c r="G29" s="50">
        <v>2002762.8</v>
      </c>
      <c r="H29" s="50">
        <f>G29-13131.21</f>
        <v>1989631.59</v>
      </c>
      <c r="I29" s="51">
        <f t="shared" si="7"/>
        <v>24762.879999999655</v>
      </c>
    </row>
    <row r="30" spans="1:11" x14ac:dyDescent="0.25">
      <c r="C30" s="31" t="s">
        <v>34</v>
      </c>
      <c r="D30" s="32">
        <f>SUM(D31:D39)</f>
        <v>30365779.290000003</v>
      </c>
      <c r="E30" s="42">
        <f>SUM(E31:E39)</f>
        <v>11076664.849999994</v>
      </c>
      <c r="F30" s="34">
        <f t="shared" ref="F30:I30" si="9">SUM(F31:F39)</f>
        <v>41442444.139999993</v>
      </c>
      <c r="G30" s="32">
        <f>SUM(G31:G39)</f>
        <v>38533410.059999995</v>
      </c>
      <c r="H30" s="32">
        <f>SUM(H31:H39)</f>
        <v>37631144.019999996</v>
      </c>
      <c r="I30" s="43">
        <f t="shared" si="9"/>
        <v>2909034.0799999987</v>
      </c>
      <c r="J30" s="37">
        <f>'[1]BALANZA ENE-DIC 2023'!H80-'41.EAEPED (COG)(LDF5) '!G30-'41.EAEPED (COG)(LDF5) '!G104</f>
        <v>-643184.67999999318</v>
      </c>
      <c r="K30">
        <v>15198043.65</v>
      </c>
    </row>
    <row r="31" spans="1:11" x14ac:dyDescent="0.25">
      <c r="A31" s="1">
        <v>3100</v>
      </c>
      <c r="C31" s="46" t="s">
        <v>35</v>
      </c>
      <c r="D31" s="47">
        <v>5452822.1999999993</v>
      </c>
      <c r="E31" s="48">
        <v>2193801.6500000008</v>
      </c>
      <c r="F31" s="49">
        <f t="shared" ref="F31:F39" si="10">D31+E31</f>
        <v>7646623.8499999996</v>
      </c>
      <c r="G31" s="50">
        <v>7535877.3700000001</v>
      </c>
      <c r="H31" s="50">
        <f>G31-32463-22164.26-13583</f>
        <v>7467667.1100000003</v>
      </c>
      <c r="I31" s="51">
        <f t="shared" ref="I31:I39" si="11">F31-G31</f>
        <v>110746.47999999952</v>
      </c>
    </row>
    <row r="32" spans="1:11" x14ac:dyDescent="0.25">
      <c r="A32" s="1">
        <v>3200</v>
      </c>
      <c r="C32" s="46" t="s">
        <v>36</v>
      </c>
      <c r="D32" s="47">
        <v>876903.92000000016</v>
      </c>
      <c r="E32" s="48">
        <v>1470517.11</v>
      </c>
      <c r="F32" s="49">
        <f t="shared" si="10"/>
        <v>2347421.0300000003</v>
      </c>
      <c r="G32" s="50">
        <v>2288053.04</v>
      </c>
      <c r="H32" s="50">
        <f t="shared" ref="H32:H39" si="12">G32</f>
        <v>2288053.04</v>
      </c>
      <c r="I32" s="51">
        <f t="shared" si="11"/>
        <v>59367.990000000224</v>
      </c>
    </row>
    <row r="33" spans="1:23" x14ac:dyDescent="0.25">
      <c r="A33" s="1">
        <v>3300</v>
      </c>
      <c r="C33" s="46" t="s">
        <v>37</v>
      </c>
      <c r="D33" s="47">
        <v>887005.3600000001</v>
      </c>
      <c r="E33" s="48">
        <v>847117.11999999976</v>
      </c>
      <c r="F33" s="49">
        <f t="shared" si="10"/>
        <v>1734122.48</v>
      </c>
      <c r="G33" s="50">
        <v>1709359.95</v>
      </c>
      <c r="H33" s="50">
        <f>G33-69881.68-91243.28</f>
        <v>1548234.99</v>
      </c>
      <c r="I33" s="51">
        <f t="shared" si="11"/>
        <v>24762.530000000028</v>
      </c>
    </row>
    <row r="34" spans="1:23" x14ac:dyDescent="0.25">
      <c r="A34" s="1">
        <v>3400</v>
      </c>
      <c r="C34" s="46" t="s">
        <v>38</v>
      </c>
      <c r="D34" s="47">
        <v>1563686.04</v>
      </c>
      <c r="E34" s="48">
        <v>576971.43999999983</v>
      </c>
      <c r="F34" s="49">
        <f t="shared" si="10"/>
        <v>2140657.48</v>
      </c>
      <c r="G34" s="50">
        <v>2094953.3299999998</v>
      </c>
      <c r="H34" s="50">
        <f t="shared" si="12"/>
        <v>2094953.3299999998</v>
      </c>
      <c r="I34" s="51">
        <f t="shared" si="11"/>
        <v>45704.15000000014</v>
      </c>
    </row>
    <row r="35" spans="1:23" ht="24" x14ac:dyDescent="0.25">
      <c r="A35" s="1">
        <v>3500</v>
      </c>
      <c r="C35" s="46" t="s">
        <v>39</v>
      </c>
      <c r="D35" s="47">
        <v>11034266.51</v>
      </c>
      <c r="E35" s="48">
        <v>7134749.5599999959</v>
      </c>
      <c r="F35" s="49">
        <f t="shared" si="10"/>
        <v>18169016.069999997</v>
      </c>
      <c r="G35" s="50">
        <v>16506609.479999997</v>
      </c>
      <c r="H35" s="50">
        <f>G35-656028.67-16902.15</f>
        <v>15833678.659999996</v>
      </c>
      <c r="I35" s="51">
        <f t="shared" si="11"/>
        <v>1662406.5899999999</v>
      </c>
    </row>
    <row r="36" spans="1:23" x14ac:dyDescent="0.25">
      <c r="A36" s="1">
        <v>3600</v>
      </c>
      <c r="C36" s="46" t="s">
        <v>40</v>
      </c>
      <c r="D36" s="47">
        <v>259951.39</v>
      </c>
      <c r="E36" s="48">
        <v>61477.09</v>
      </c>
      <c r="F36" s="49">
        <f t="shared" si="10"/>
        <v>321428.47999999998</v>
      </c>
      <c r="G36" s="50">
        <v>295769.31</v>
      </c>
      <c r="H36" s="50">
        <f t="shared" si="12"/>
        <v>295769.31</v>
      </c>
      <c r="I36" s="51">
        <f t="shared" si="11"/>
        <v>25659.169999999984</v>
      </c>
    </row>
    <row r="37" spans="1:23" x14ac:dyDescent="0.25">
      <c r="A37" s="1">
        <v>3700</v>
      </c>
      <c r="C37" s="46" t="s">
        <v>41</v>
      </c>
      <c r="D37" s="47">
        <v>2923798.42</v>
      </c>
      <c r="E37" s="48">
        <v>2762994.5699999994</v>
      </c>
      <c r="F37" s="49">
        <f t="shared" si="10"/>
        <v>5686792.9899999993</v>
      </c>
      <c r="G37" s="50">
        <v>5359744.29</v>
      </c>
      <c r="H37" s="50">
        <f t="shared" si="12"/>
        <v>5359744.29</v>
      </c>
      <c r="I37" s="51">
        <f t="shared" si="11"/>
        <v>327048.69999999925</v>
      </c>
    </row>
    <row r="38" spans="1:23" x14ac:dyDescent="0.25">
      <c r="A38" s="1">
        <v>3800</v>
      </c>
      <c r="C38" s="46" t="s">
        <v>42</v>
      </c>
      <c r="D38" s="47">
        <v>3361702.6399999997</v>
      </c>
      <c r="E38" s="48">
        <v>-715836.81999999972</v>
      </c>
      <c r="F38" s="49">
        <f t="shared" si="10"/>
        <v>2645865.8199999998</v>
      </c>
      <c r="G38" s="50">
        <v>1992893.65</v>
      </c>
      <c r="H38" s="50">
        <f t="shared" si="12"/>
        <v>1992893.65</v>
      </c>
      <c r="I38" s="51">
        <f t="shared" si="11"/>
        <v>652972.16999999993</v>
      </c>
    </row>
    <row r="39" spans="1:23" x14ac:dyDescent="0.25">
      <c r="A39" s="1">
        <v>3900</v>
      </c>
      <c r="C39" s="46" t="s">
        <v>43</v>
      </c>
      <c r="D39" s="47">
        <v>4005642.81</v>
      </c>
      <c r="E39" s="48">
        <v>-3255126.87</v>
      </c>
      <c r="F39" s="49">
        <f t="shared" si="10"/>
        <v>750515.94</v>
      </c>
      <c r="G39" s="50">
        <v>750149.64</v>
      </c>
      <c r="H39" s="50">
        <f t="shared" si="12"/>
        <v>750149.64</v>
      </c>
      <c r="I39" s="51">
        <f t="shared" si="11"/>
        <v>366.29999999993015</v>
      </c>
    </row>
    <row r="40" spans="1:23" ht="24" x14ac:dyDescent="0.25">
      <c r="C40" s="54" t="s">
        <v>44</v>
      </c>
      <c r="D40" s="32">
        <f>SUM(D41:D49)</f>
        <v>130276757.49000001</v>
      </c>
      <c r="E40" s="42">
        <f>SUM(E41:E49)</f>
        <v>96440921.030000001</v>
      </c>
      <c r="F40" s="34">
        <f t="shared" ref="F40:I40" si="13">SUM(F41:F49)</f>
        <v>226717678.52000004</v>
      </c>
      <c r="G40" s="32">
        <f>SUM(G41:G49)</f>
        <v>223337827.60999998</v>
      </c>
      <c r="H40" s="32">
        <f t="shared" si="13"/>
        <v>222588972.75999999</v>
      </c>
      <c r="I40" s="43">
        <f t="shared" si="13"/>
        <v>3379850.9100000504</v>
      </c>
      <c r="J40" s="52"/>
    </row>
    <row r="41" spans="1:23" x14ac:dyDescent="0.25">
      <c r="A41" s="1">
        <v>4100</v>
      </c>
      <c r="C41" s="46" t="s">
        <v>45</v>
      </c>
      <c r="D41" s="47">
        <v>1159364.03</v>
      </c>
      <c r="E41" s="48">
        <v>329299.86999999994</v>
      </c>
      <c r="F41" s="49">
        <f t="shared" ref="F41:F49" si="14">D41+E41</f>
        <v>1488663.9</v>
      </c>
      <c r="G41" s="50">
        <v>1482320.2499999998</v>
      </c>
      <c r="H41" s="50">
        <f t="shared" ref="H41:H49" si="15">G41</f>
        <v>1482320.2499999998</v>
      </c>
      <c r="I41" s="51">
        <f t="shared" ref="I41:I49" si="16">F41-G41</f>
        <v>6343.6500000001397</v>
      </c>
      <c r="J41" s="52"/>
    </row>
    <row r="42" spans="1:23" x14ac:dyDescent="0.25">
      <c r="A42" s="1">
        <v>4200</v>
      </c>
      <c r="C42" s="46" t="s">
        <v>46</v>
      </c>
      <c r="D42" s="47">
        <v>0</v>
      </c>
      <c r="E42" s="48">
        <v>0</v>
      </c>
      <c r="F42" s="49">
        <f t="shared" si="14"/>
        <v>0</v>
      </c>
      <c r="G42" s="50">
        <v>0</v>
      </c>
      <c r="H42" s="50">
        <f t="shared" si="15"/>
        <v>0</v>
      </c>
      <c r="I42" s="51">
        <f t="shared" si="16"/>
        <v>0</v>
      </c>
    </row>
    <row r="43" spans="1:23" x14ac:dyDescent="0.25">
      <c r="A43" s="1">
        <v>4300</v>
      </c>
      <c r="C43" s="46" t="s">
        <v>47</v>
      </c>
      <c r="D43" s="47">
        <v>0</v>
      </c>
      <c r="E43" s="48">
        <v>0</v>
      </c>
      <c r="F43" s="49">
        <f t="shared" si="14"/>
        <v>0</v>
      </c>
      <c r="G43" s="50">
        <v>0</v>
      </c>
      <c r="H43" s="50">
        <f t="shared" si="15"/>
        <v>0</v>
      </c>
      <c r="I43" s="51">
        <f t="shared" si="16"/>
        <v>0</v>
      </c>
    </row>
    <row r="44" spans="1:23" x14ac:dyDescent="0.25">
      <c r="A44" s="1">
        <v>4400</v>
      </c>
      <c r="C44" s="46" t="s">
        <v>48</v>
      </c>
      <c r="D44" s="47">
        <v>125277972.46000001</v>
      </c>
      <c r="E44" s="48">
        <v>94787958.950000003</v>
      </c>
      <c r="F44" s="49">
        <f t="shared" si="14"/>
        <v>220065931.41000003</v>
      </c>
      <c r="G44" s="50">
        <v>216692424.14999998</v>
      </c>
      <c r="H44" s="50">
        <f>G44-620332.2-74588-29067.63-24867.02</f>
        <v>215943569.29999998</v>
      </c>
      <c r="I44" s="51">
        <f t="shared" si="16"/>
        <v>3373507.2600000501</v>
      </c>
      <c r="J44" s="52">
        <f>'[1]BALANZA ENE-DIC 2023'!G92-'41.EAEPED (COG)(LDF5) '!H44-'41.EAEPED (COG)(LDF5) '!G118</f>
        <v>748854.85000014305</v>
      </c>
      <c r="K44" s="52"/>
    </row>
    <row r="45" spans="1:23" x14ac:dyDescent="0.25">
      <c r="A45" s="1">
        <v>4500</v>
      </c>
      <c r="C45" s="46" t="s">
        <v>49</v>
      </c>
      <c r="D45" s="47">
        <v>3839421</v>
      </c>
      <c r="E45" s="48">
        <v>1323662.2100000004</v>
      </c>
      <c r="F45" s="49">
        <f t="shared" si="14"/>
        <v>5163083.2100000009</v>
      </c>
      <c r="G45" s="50">
        <v>5163083.21</v>
      </c>
      <c r="H45" s="50">
        <f t="shared" si="15"/>
        <v>5163083.21</v>
      </c>
      <c r="I45" s="51">
        <f t="shared" si="16"/>
        <v>0</v>
      </c>
    </row>
    <row r="46" spans="1:23" ht="15.75" thickBot="1" x14ac:dyDescent="0.3">
      <c r="C46" s="46" t="s">
        <v>50</v>
      </c>
      <c r="D46" s="47">
        <v>0</v>
      </c>
      <c r="E46" s="48">
        <v>0</v>
      </c>
      <c r="F46" s="49">
        <f t="shared" si="14"/>
        <v>0</v>
      </c>
      <c r="G46" s="50">
        <v>0</v>
      </c>
      <c r="H46" s="50">
        <f t="shared" si="15"/>
        <v>0</v>
      </c>
      <c r="I46" s="51">
        <f t="shared" si="16"/>
        <v>0</v>
      </c>
      <c r="J46" s="52"/>
    </row>
    <row r="47" spans="1:23" ht="23.25" customHeight="1" x14ac:dyDescent="0.25">
      <c r="C47" s="46" t="s">
        <v>51</v>
      </c>
      <c r="D47" s="47">
        <v>0</v>
      </c>
      <c r="E47" s="48">
        <v>0</v>
      </c>
      <c r="F47" s="49">
        <f t="shared" si="14"/>
        <v>0</v>
      </c>
      <c r="G47" s="50">
        <v>0</v>
      </c>
      <c r="H47" s="50">
        <f t="shared" si="15"/>
        <v>0</v>
      </c>
      <c r="I47" s="51">
        <f t="shared" si="16"/>
        <v>0</v>
      </c>
      <c r="L47" s="55" t="s">
        <v>52</v>
      </c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7"/>
    </row>
    <row r="48" spans="1:23" ht="23.25" customHeight="1" thickBot="1" x14ac:dyDescent="0.3">
      <c r="C48" s="46" t="s">
        <v>53</v>
      </c>
      <c r="D48" s="47">
        <v>0</v>
      </c>
      <c r="E48" s="48">
        <v>0</v>
      </c>
      <c r="F48" s="49">
        <f t="shared" si="14"/>
        <v>0</v>
      </c>
      <c r="G48" s="50">
        <v>0</v>
      </c>
      <c r="H48" s="50">
        <f t="shared" si="15"/>
        <v>0</v>
      </c>
      <c r="I48" s="51">
        <f t="shared" si="16"/>
        <v>0</v>
      </c>
      <c r="L48" s="58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60"/>
    </row>
    <row r="49" spans="1:30" x14ac:dyDescent="0.25">
      <c r="C49" s="46" t="s">
        <v>54</v>
      </c>
      <c r="D49" s="47">
        <v>0</v>
      </c>
      <c r="E49" s="48">
        <v>0</v>
      </c>
      <c r="F49" s="49">
        <f t="shared" si="14"/>
        <v>0</v>
      </c>
      <c r="G49" s="50">
        <v>0</v>
      </c>
      <c r="H49" s="50">
        <f t="shared" si="15"/>
        <v>0</v>
      </c>
      <c r="I49" s="51">
        <f t="shared" si="16"/>
        <v>0</v>
      </c>
      <c r="L49" s="61" t="s">
        <v>55</v>
      </c>
      <c r="M49" s="61" t="s">
        <v>56</v>
      </c>
      <c r="N49" s="61" t="s">
        <v>57</v>
      </c>
      <c r="O49" s="61" t="s">
        <v>58</v>
      </c>
      <c r="P49" s="61" t="s">
        <v>59</v>
      </c>
      <c r="Q49" s="61" t="s">
        <v>60</v>
      </c>
      <c r="R49" s="61" t="s">
        <v>61</v>
      </c>
      <c r="S49" s="61" t="s">
        <v>62</v>
      </c>
      <c r="T49" s="61" t="s">
        <v>63</v>
      </c>
      <c r="U49" s="61" t="s">
        <v>64</v>
      </c>
      <c r="V49" s="61" t="s">
        <v>65</v>
      </c>
      <c r="W49" s="61" t="s">
        <v>66</v>
      </c>
    </row>
    <row r="50" spans="1:30" ht="24" x14ac:dyDescent="0.25">
      <c r="C50" s="54" t="s">
        <v>67</v>
      </c>
      <c r="D50" s="32">
        <f>SUM(D51:D59)</f>
        <v>0</v>
      </c>
      <c r="E50" s="42">
        <f>SUM(E51:E59)</f>
        <v>14571406.810000001</v>
      </c>
      <c r="F50" s="34">
        <f t="shared" ref="F50:I50" si="17">SUM(F51:F59)</f>
        <v>14571406.810000001</v>
      </c>
      <c r="G50" s="32">
        <f>SUM(G51:G59)</f>
        <v>14013149.330000002</v>
      </c>
      <c r="H50" s="32">
        <f t="shared" si="17"/>
        <v>13469866.58</v>
      </c>
      <c r="I50" s="43">
        <f t="shared" si="17"/>
        <v>558257.47999999952</v>
      </c>
      <c r="J50" s="41">
        <v>8944845.7100000009</v>
      </c>
      <c r="K50" s="45">
        <f>J50-H50</f>
        <v>-4525020.8699999992</v>
      </c>
      <c r="L50" s="62">
        <f t="shared" ref="L50:V50" si="18">SUM(L51:L59)</f>
        <v>3955138.1999999997</v>
      </c>
      <c r="M50" s="62">
        <f t="shared" si="18"/>
        <v>1240556.46</v>
      </c>
      <c r="N50" s="62">
        <f t="shared" si="18"/>
        <v>24523.64</v>
      </c>
      <c r="O50" s="62">
        <f t="shared" si="18"/>
        <v>9244.0400000000009</v>
      </c>
      <c r="P50" s="62">
        <f t="shared" si="18"/>
        <v>256420.12</v>
      </c>
      <c r="Q50" s="62">
        <f t="shared" si="18"/>
        <v>-116756.21</v>
      </c>
      <c r="R50" s="62">
        <f t="shared" si="18"/>
        <v>0</v>
      </c>
      <c r="S50" s="62">
        <f t="shared" si="18"/>
        <v>-7486.0599999999977</v>
      </c>
      <c r="T50" s="62">
        <f t="shared" si="18"/>
        <v>85116.04</v>
      </c>
      <c r="U50" s="62">
        <f t="shared" si="18"/>
        <v>7255962.0800000001</v>
      </c>
      <c r="V50" s="62">
        <f t="shared" si="18"/>
        <v>1293474.1400000001</v>
      </c>
      <c r="W50" s="62">
        <f>SUM(W51:W59)</f>
        <v>16956.879999999997</v>
      </c>
      <c r="AA50" t="s">
        <v>68</v>
      </c>
    </row>
    <row r="51" spans="1:30" x14ac:dyDescent="0.25">
      <c r="A51" s="1">
        <v>5100</v>
      </c>
      <c r="C51" s="46" t="s">
        <v>69</v>
      </c>
      <c r="D51" s="47">
        <v>0</v>
      </c>
      <c r="E51" s="50">
        <f>2861043.31-43291.55</f>
        <v>2817751.7600000002</v>
      </c>
      <c r="F51" s="49">
        <f>D51+E51</f>
        <v>2817751.7600000002</v>
      </c>
      <c r="G51" s="50">
        <f>Z51</f>
        <v>2259494.48</v>
      </c>
      <c r="H51" s="50">
        <f>G51-243644.54-153733.41</f>
        <v>1862116.53</v>
      </c>
      <c r="I51" s="51">
        <f t="shared" ref="I51:I59" si="19">F51-G51</f>
        <v>558257.28000000026</v>
      </c>
      <c r="J51" s="41"/>
      <c r="K51" s="63" t="s">
        <v>70</v>
      </c>
      <c r="L51" s="64">
        <f>13400.78+16720.05+517055.15+9867.54</f>
        <v>557043.52</v>
      </c>
      <c r="M51" s="64">
        <f>31668+32016+54752+466320.46</f>
        <v>584756.46</v>
      </c>
      <c r="N51" s="64">
        <f>[1]Activo!F178-450</f>
        <v>16544</v>
      </c>
      <c r="O51" s="64">
        <v>9244.0400000000009</v>
      </c>
      <c r="P51" s="64">
        <f>28536+86085.72+17780.48</f>
        <v>132402.20000000001</v>
      </c>
      <c r="Q51" s="64">
        <f>-[1]Activo!G364</f>
        <v>-131331.20000000001</v>
      </c>
      <c r="R51" s="64"/>
      <c r="S51" s="64">
        <f>-[1]Activo!G503+[1]Activo!F484</f>
        <v>-21981.42</v>
      </c>
      <c r="T51" s="64">
        <f>+[1]Activo!F545+[1]Activo!F564</f>
        <v>85116.04</v>
      </c>
      <c r="U51" s="64">
        <f>+[1]Activo!F631+[1]Activo!F632</f>
        <v>1006021.6</v>
      </c>
      <c r="V51" s="64">
        <f>SUMIFS([1]Activo!$F$638:$F$698,[1]Activo!$I$638:$I$698,'41.EAEPED (COG)(LDF5) '!$X51)</f>
        <v>4722.3599999999997</v>
      </c>
      <c r="W51" s="64">
        <f>[1]Activo!F740+[1]Activo!F741+[1]Activo!F752</f>
        <v>16956.879999999997</v>
      </c>
      <c r="X51" s="46" t="s">
        <v>71</v>
      </c>
      <c r="Y51" t="s">
        <v>72</v>
      </c>
      <c r="Z51" s="52">
        <f>SUM(L51:W51)</f>
        <v>2259494.48</v>
      </c>
      <c r="AA51" t="s">
        <v>73</v>
      </c>
      <c r="AB51" s="41"/>
      <c r="AC51" s="45"/>
    </row>
    <row r="52" spans="1:30" x14ac:dyDescent="0.25">
      <c r="A52" s="1">
        <v>5200</v>
      </c>
      <c r="C52" s="46" t="s">
        <v>74</v>
      </c>
      <c r="D52" s="47">
        <v>0</v>
      </c>
      <c r="E52" s="50">
        <v>0</v>
      </c>
      <c r="F52" s="49">
        <f t="shared" ref="F52:F59" si="20">D52+E52</f>
        <v>0</v>
      </c>
      <c r="G52" s="50">
        <f t="shared" ref="G52:G59" si="21">Z52</f>
        <v>0</v>
      </c>
      <c r="H52" s="50">
        <f t="shared" ref="H52:H59" si="22">G52</f>
        <v>0</v>
      </c>
      <c r="I52" s="51">
        <f t="shared" si="19"/>
        <v>0</v>
      </c>
      <c r="J52" s="52">
        <f>+G51+24700</f>
        <v>2284194.48</v>
      </c>
      <c r="K52" s="63"/>
      <c r="L52" s="64"/>
      <c r="M52" s="64"/>
      <c r="N52" s="64"/>
      <c r="O52" s="64"/>
      <c r="P52" s="64"/>
      <c r="Q52" s="64"/>
      <c r="R52" s="64"/>
      <c r="S52" s="64"/>
      <c r="T52" s="64"/>
      <c r="U52" s="64">
        <f>SUMIFS([1]Activo!$F$578:$F$633,[1]Activo!$I$578:$I$633,'41.EAEPED (COG)(LDF5) '!$X52)</f>
        <v>0</v>
      </c>
      <c r="V52" s="64">
        <f>SUMIFS([1]Activo!$F$638:$F$698,[1]Activo!$I$638:$I$698,'41.EAEPED (COG)(LDF5) '!$X52)</f>
        <v>0</v>
      </c>
      <c r="W52" s="64"/>
      <c r="X52" s="46" t="s">
        <v>75</v>
      </c>
      <c r="Y52" t="s">
        <v>76</v>
      </c>
      <c r="Z52" s="52">
        <f t="shared" ref="Z52:Z59" si="23">SUM(L52:W52)</f>
        <v>0</v>
      </c>
    </row>
    <row r="53" spans="1:30" x14ac:dyDescent="0.25">
      <c r="A53" s="1">
        <v>5300</v>
      </c>
      <c r="C53" s="46" t="s">
        <v>77</v>
      </c>
      <c r="D53" s="47">
        <v>0</v>
      </c>
      <c r="E53" s="50">
        <v>0</v>
      </c>
      <c r="F53" s="49">
        <f t="shared" si="20"/>
        <v>0</v>
      </c>
      <c r="G53" s="50">
        <f t="shared" si="21"/>
        <v>0</v>
      </c>
      <c r="H53" s="50">
        <f t="shared" si="22"/>
        <v>0</v>
      </c>
      <c r="I53" s="51">
        <f t="shared" si="19"/>
        <v>0</v>
      </c>
      <c r="L53" s="64"/>
      <c r="M53" s="64"/>
      <c r="N53" s="64"/>
      <c r="O53" s="64"/>
      <c r="P53" s="64"/>
      <c r="Q53" s="64"/>
      <c r="R53" s="64"/>
      <c r="S53" s="64"/>
      <c r="T53" s="64"/>
      <c r="U53" s="64">
        <f>SUMIFS([1]Activo!$F$578:$F$633,[1]Activo!$I$578:$I$633,'41.EAEPED (COG)(LDF5) '!$X53)</f>
        <v>0</v>
      </c>
      <c r="V53" s="64">
        <f>SUMIFS([1]Activo!$F$638:$F$698,[1]Activo!$I$638:$I$698,'41.EAEPED (COG)(LDF5) '!$X53)</f>
        <v>0</v>
      </c>
      <c r="W53" s="64"/>
      <c r="X53" s="46" t="s">
        <v>78</v>
      </c>
      <c r="Y53" t="s">
        <v>79</v>
      </c>
      <c r="Z53" s="52">
        <f t="shared" si="23"/>
        <v>0</v>
      </c>
    </row>
    <row r="54" spans="1:30" x14ac:dyDescent="0.25">
      <c r="A54" s="1">
        <v>5400</v>
      </c>
      <c r="C54" s="46" t="s">
        <v>80</v>
      </c>
      <c r="D54" s="47">
        <v>0</v>
      </c>
      <c r="E54" s="50">
        <v>10638305</v>
      </c>
      <c r="F54" s="49">
        <f t="shared" si="20"/>
        <v>10638305</v>
      </c>
      <c r="G54" s="50">
        <f t="shared" si="21"/>
        <v>10638304.800000001</v>
      </c>
      <c r="H54" s="50">
        <f>G54-145904.8</f>
        <v>10492400</v>
      </c>
      <c r="I54" s="51">
        <f t="shared" si="19"/>
        <v>0.19999999925494194</v>
      </c>
      <c r="L54" s="64">
        <f>2477500+145904.8</f>
        <v>2623404.7999999998</v>
      </c>
      <c r="M54" s="64">
        <f>345900+309900</f>
        <v>655800</v>
      </c>
      <c r="N54" s="64"/>
      <c r="O54" s="64"/>
      <c r="P54" s="64"/>
      <c r="Q54" s="64"/>
      <c r="R54" s="64"/>
      <c r="S54" s="64"/>
      <c r="T54" s="64"/>
      <c r="U54" s="64">
        <f>+[1]Activo!F625</f>
        <v>6222300</v>
      </c>
      <c r="V54" s="64">
        <f>SUMIFS([1]Activo!$F$638:$F$698,[1]Activo!$I$638:$I$698,'41.EAEPED (COG)(LDF5) '!$X54)</f>
        <v>1136800</v>
      </c>
      <c r="W54" s="64"/>
      <c r="X54" s="46" t="s">
        <v>81</v>
      </c>
      <c r="Y54" t="s">
        <v>82</v>
      </c>
      <c r="Z54" s="52">
        <f t="shared" si="23"/>
        <v>10638304.800000001</v>
      </c>
      <c r="AA54">
        <v>138</v>
      </c>
      <c r="AB54" s="41"/>
      <c r="AC54" s="45"/>
    </row>
    <row r="55" spans="1:30" x14ac:dyDescent="0.25">
      <c r="A55" s="1">
        <v>5500</v>
      </c>
      <c r="C55" s="46" t="s">
        <v>83</v>
      </c>
      <c r="D55" s="47">
        <v>0</v>
      </c>
      <c r="E55" s="50">
        <v>0</v>
      </c>
      <c r="F55" s="49">
        <f t="shared" si="20"/>
        <v>0</v>
      </c>
      <c r="G55" s="50">
        <f t="shared" si="21"/>
        <v>0</v>
      </c>
      <c r="H55" s="50">
        <f t="shared" si="22"/>
        <v>0</v>
      </c>
      <c r="I55" s="51">
        <f t="shared" si="19"/>
        <v>0</v>
      </c>
      <c r="L55" s="64"/>
      <c r="M55" s="64"/>
      <c r="N55" s="64"/>
      <c r="O55" s="64"/>
      <c r="P55" s="64"/>
      <c r="Q55" s="64"/>
      <c r="R55" s="64"/>
      <c r="S55" s="64"/>
      <c r="T55" s="64"/>
      <c r="U55" s="64">
        <f>SUMIFS([1]Activo!$F$578:$F$633,[1]Activo!$I$578:$I$633,'41.EAEPED (COG)(LDF5) '!$X55)</f>
        <v>0</v>
      </c>
      <c r="V55" s="64">
        <f>SUMIFS([1]Activo!$F$638:$F$698,[1]Activo!$I$638:$I$698,'41.EAEPED (COG)(LDF5) '!$X55)</f>
        <v>0</v>
      </c>
      <c r="W55" s="64"/>
      <c r="X55" s="46" t="s">
        <v>84</v>
      </c>
      <c r="Y55" t="s">
        <v>85</v>
      </c>
      <c r="Z55" s="52">
        <f t="shared" si="23"/>
        <v>0</v>
      </c>
    </row>
    <row r="56" spans="1:30" x14ac:dyDescent="0.25">
      <c r="A56" s="1">
        <v>5600</v>
      </c>
      <c r="C56" s="46" t="s">
        <v>86</v>
      </c>
      <c r="D56" s="47">
        <v>0</v>
      </c>
      <c r="E56" s="50">
        <f>1072058.5+43291.55</f>
        <v>1115350.05</v>
      </c>
      <c r="F56" s="49">
        <f t="shared" si="20"/>
        <v>1115350.05</v>
      </c>
      <c r="G56" s="50">
        <f t="shared" si="21"/>
        <v>1115350.05</v>
      </c>
      <c r="H56" s="50">
        <f t="shared" si="22"/>
        <v>1115350.05</v>
      </c>
      <c r="I56" s="51">
        <f t="shared" si="19"/>
        <v>0</v>
      </c>
      <c r="L56" s="64">
        <f>774689.88</f>
        <v>774689.88</v>
      </c>
      <c r="M56" s="64"/>
      <c r="N56" s="64">
        <f>[1]Activo!F159</f>
        <v>7979.64</v>
      </c>
      <c r="O56" s="64"/>
      <c r="P56" s="64">
        <f>124017.92</f>
        <v>124017.92</v>
      </c>
      <c r="Q56" s="64">
        <f>+[1]Activo!F348</f>
        <v>14574.99</v>
      </c>
      <c r="R56" s="64"/>
      <c r="S56" s="64">
        <f>+[1]Activo!F468</f>
        <v>14495.36</v>
      </c>
      <c r="T56" s="64"/>
      <c r="U56" s="64">
        <f>+[1]Activo!F591+[1]Activo!F592</f>
        <v>27640.48</v>
      </c>
      <c r="V56" s="64">
        <f>SUMIFS([1]Activo!$F$638:$F$698,[1]Activo!$I$638:$I$698,'41.EAEPED (COG)(LDF5) '!$X56)</f>
        <v>151951.78</v>
      </c>
      <c r="W56" s="64"/>
      <c r="X56" s="46" t="s">
        <v>87</v>
      </c>
      <c r="Y56" t="s">
        <v>88</v>
      </c>
      <c r="Z56" s="52">
        <f t="shared" si="23"/>
        <v>1115350.05</v>
      </c>
      <c r="AA56">
        <v>135</v>
      </c>
      <c r="AB56" s="41"/>
      <c r="AC56" s="45"/>
    </row>
    <row r="57" spans="1:30" x14ac:dyDescent="0.25">
      <c r="A57" s="1">
        <v>5700</v>
      </c>
      <c r="C57" s="46" t="s">
        <v>89</v>
      </c>
      <c r="D57" s="47">
        <v>0</v>
      </c>
      <c r="E57" s="50">
        <v>0</v>
      </c>
      <c r="F57" s="49">
        <f t="shared" si="20"/>
        <v>0</v>
      </c>
      <c r="G57" s="50">
        <f t="shared" si="21"/>
        <v>0</v>
      </c>
      <c r="H57" s="50">
        <f t="shared" si="22"/>
        <v>0</v>
      </c>
      <c r="I57" s="51">
        <f t="shared" si="19"/>
        <v>0</v>
      </c>
      <c r="L57" s="64"/>
      <c r="M57" s="64"/>
      <c r="N57" s="64"/>
      <c r="O57" s="64"/>
      <c r="P57" s="64"/>
      <c r="Q57" s="64"/>
      <c r="R57" s="64"/>
      <c r="S57" s="64"/>
      <c r="T57" s="64"/>
      <c r="U57" s="64">
        <f>SUMIFS([1]Activo!$F$578:$F$633,[1]Activo!$I$578:$I$633,'41.EAEPED (COG)(LDF5) '!$X57)</f>
        <v>0</v>
      </c>
      <c r="V57" s="64">
        <f>SUMIFS([1]Activo!$F$638:$F$698,[1]Activo!$I$638:$I$698,'41.EAEPED (COG)(LDF5) '!$X57)</f>
        <v>0</v>
      </c>
      <c r="W57" s="64"/>
      <c r="X57" s="46" t="s">
        <v>90</v>
      </c>
      <c r="Y57" t="s">
        <v>91</v>
      </c>
      <c r="Z57" s="52">
        <f t="shared" si="23"/>
        <v>0</v>
      </c>
    </row>
    <row r="58" spans="1:30" x14ac:dyDescent="0.25">
      <c r="A58" s="1">
        <v>5800</v>
      </c>
      <c r="C58" s="46" t="s">
        <v>92</v>
      </c>
      <c r="D58" s="47">
        <v>0</v>
      </c>
      <c r="E58" s="50">
        <v>0</v>
      </c>
      <c r="F58" s="49">
        <f t="shared" si="20"/>
        <v>0</v>
      </c>
      <c r="G58" s="50">
        <f t="shared" si="21"/>
        <v>0</v>
      </c>
      <c r="H58" s="50">
        <f t="shared" si="22"/>
        <v>0</v>
      </c>
      <c r="I58" s="51">
        <f t="shared" si="19"/>
        <v>0</v>
      </c>
      <c r="L58" s="64"/>
      <c r="M58" s="64"/>
      <c r="N58" s="64"/>
      <c r="O58" s="64"/>
      <c r="P58" s="64"/>
      <c r="Q58" s="64"/>
      <c r="R58" s="64"/>
      <c r="S58" s="64"/>
      <c r="T58" s="64"/>
      <c r="U58" s="64">
        <f>SUMIFS([1]Activo!$F$578:$F$633,[1]Activo!$I$578:$I$633,'41.EAEPED (COG)(LDF5) '!$X58)</f>
        <v>0</v>
      </c>
      <c r="V58" s="64">
        <f>SUMIFS([1]Activo!$F$638:$F$698,[1]Activo!$I$638:$I$698,'41.EAEPED (COG)(LDF5) '!$X58)</f>
        <v>0</v>
      </c>
      <c r="W58" s="64"/>
      <c r="X58" s="46" t="s">
        <v>93</v>
      </c>
      <c r="Y58" t="s">
        <v>94</v>
      </c>
      <c r="Z58" s="52">
        <f t="shared" si="23"/>
        <v>0</v>
      </c>
    </row>
    <row r="59" spans="1:30" ht="15.75" thickBot="1" x14ac:dyDescent="0.3">
      <c r="A59" s="1">
        <v>5900</v>
      </c>
      <c r="C59" s="46" t="s">
        <v>95</v>
      </c>
      <c r="D59" s="47">
        <v>0</v>
      </c>
      <c r="E59" s="50">
        <v>0</v>
      </c>
      <c r="F59" s="49">
        <f t="shared" si="20"/>
        <v>0</v>
      </c>
      <c r="G59" s="50">
        <f t="shared" si="21"/>
        <v>0</v>
      </c>
      <c r="H59" s="50">
        <f t="shared" si="22"/>
        <v>0</v>
      </c>
      <c r="I59" s="51">
        <f t="shared" si="19"/>
        <v>0</v>
      </c>
      <c r="J59" s="39">
        <f>G50-K59</f>
        <v>0</v>
      </c>
      <c r="K59" s="39">
        <f>W50+V50+U50+T50+S50+R50+Q50+P50+O50+N50+M50+L50</f>
        <v>14013149.329999994</v>
      </c>
      <c r="L59" s="65"/>
      <c r="M59" s="65"/>
      <c r="N59" s="65"/>
      <c r="O59" s="65"/>
      <c r="P59" s="65"/>
      <c r="Q59" s="65"/>
      <c r="R59" s="65"/>
      <c r="S59" s="65"/>
      <c r="T59" s="65"/>
      <c r="U59" s="64">
        <f>SUMIFS([1]Activo!$F$578:$F$633,[1]Activo!$I$578:$I$633,'41.EAEPED (COG)(LDF5) '!$X59)</f>
        <v>0</v>
      </c>
      <c r="V59" s="64">
        <f>SUMIFS([1]Activo!$F$638:$F$698,[1]Activo!$I$638:$I$698,'41.EAEPED (COG)(LDF5) '!$X59)</f>
        <v>0</v>
      </c>
      <c r="W59" s="65"/>
      <c r="X59" s="46" t="s">
        <v>96</v>
      </c>
      <c r="Y59" t="s">
        <v>97</v>
      </c>
      <c r="Z59" s="52">
        <f t="shared" si="23"/>
        <v>0</v>
      </c>
    </row>
    <row r="60" spans="1:30" x14ac:dyDescent="0.25">
      <c r="C60" s="31" t="s">
        <v>98</v>
      </c>
      <c r="D60" s="32">
        <f>SUM(D61:D63)</f>
        <v>0</v>
      </c>
      <c r="E60" s="42">
        <f t="shared" ref="E60:I60" si="24">SUM(E61:E63)</f>
        <v>4924183.66</v>
      </c>
      <c r="F60" s="34">
        <f t="shared" si="24"/>
        <v>4924183.66</v>
      </c>
      <c r="G60" s="34">
        <f t="shared" si="24"/>
        <v>4200547.5599999996</v>
      </c>
      <c r="H60" s="34">
        <f t="shared" si="24"/>
        <v>1881747.4999999993</v>
      </c>
      <c r="I60" s="34">
        <f t="shared" si="24"/>
        <v>723636.10000000056</v>
      </c>
      <c r="AC60" s="45"/>
      <c r="AD60" s="45"/>
    </row>
    <row r="61" spans="1:30" x14ac:dyDescent="0.25">
      <c r="C61" s="46" t="s">
        <v>99</v>
      </c>
      <c r="D61" s="47">
        <v>0</v>
      </c>
      <c r="E61" s="48">
        <v>0</v>
      </c>
      <c r="F61" s="49">
        <f t="shared" ref="F61:F63" si="25">D61+E61</f>
        <v>0</v>
      </c>
      <c r="G61" s="50">
        <v>0</v>
      </c>
      <c r="H61" s="50">
        <f t="shared" ref="H61:H63" si="26">G61</f>
        <v>0</v>
      </c>
      <c r="I61" s="51">
        <f t="shared" ref="I61:I63" si="27">F61-G61</f>
        <v>0</v>
      </c>
      <c r="V61">
        <v>-57884</v>
      </c>
    </row>
    <row r="62" spans="1:30" x14ac:dyDescent="0.25">
      <c r="C62" s="46" t="s">
        <v>100</v>
      </c>
      <c r="D62" s="47">
        <v>0</v>
      </c>
      <c r="E62" s="48">
        <v>4924183.66</v>
      </c>
      <c r="F62" s="49">
        <f t="shared" si="25"/>
        <v>4924183.66</v>
      </c>
      <c r="G62" s="50">
        <v>4200547.5599999996</v>
      </c>
      <c r="H62" s="50">
        <f>G62-1747840.57-570959.49</f>
        <v>1881747.4999999993</v>
      </c>
      <c r="I62" s="51">
        <f t="shared" si="27"/>
        <v>723636.10000000056</v>
      </c>
    </row>
    <row r="63" spans="1:30" x14ac:dyDescent="0.25">
      <c r="C63" s="46" t="s">
        <v>101</v>
      </c>
      <c r="D63" s="47">
        <v>0</v>
      </c>
      <c r="E63" s="48">
        <v>0</v>
      </c>
      <c r="F63" s="49">
        <f t="shared" si="25"/>
        <v>0</v>
      </c>
      <c r="G63" s="50">
        <v>0</v>
      </c>
      <c r="H63" s="50">
        <f t="shared" si="26"/>
        <v>0</v>
      </c>
      <c r="I63" s="51">
        <f t="shared" si="27"/>
        <v>0</v>
      </c>
    </row>
    <row r="64" spans="1:30" ht="30" customHeight="1" x14ac:dyDescent="0.25">
      <c r="C64" s="54" t="s">
        <v>102</v>
      </c>
      <c r="D64" s="32">
        <f>SUM(D65:D72)</f>
        <v>0</v>
      </c>
      <c r="E64" s="42">
        <f t="shared" ref="E64:I64" si="28">SUM(E65:E72)</f>
        <v>0</v>
      </c>
      <c r="F64" s="34">
        <f t="shared" si="28"/>
        <v>0</v>
      </c>
      <c r="G64" s="32">
        <f>SUM(G65:G72)</f>
        <v>0</v>
      </c>
      <c r="H64" s="32">
        <f t="shared" si="28"/>
        <v>0</v>
      </c>
      <c r="I64" s="43">
        <f t="shared" si="28"/>
        <v>0</v>
      </c>
    </row>
    <row r="65" spans="3:15" x14ac:dyDescent="0.25">
      <c r="C65" s="46" t="s">
        <v>103</v>
      </c>
      <c r="D65" s="47">
        <v>0</v>
      </c>
      <c r="E65" s="48">
        <v>0</v>
      </c>
      <c r="F65" s="49">
        <f t="shared" ref="F65:F72" si="29">D65+E65</f>
        <v>0</v>
      </c>
      <c r="G65" s="50">
        <v>0</v>
      </c>
      <c r="H65" s="50">
        <f t="shared" ref="H65:H72" si="30">G65</f>
        <v>0</v>
      </c>
      <c r="I65" s="51">
        <f t="shared" ref="I65:I72" si="31">F65-G65</f>
        <v>0</v>
      </c>
    </row>
    <row r="66" spans="3:15" x14ac:dyDescent="0.25">
      <c r="C66" s="46" t="s">
        <v>104</v>
      </c>
      <c r="D66" s="47">
        <v>0</v>
      </c>
      <c r="E66" s="48">
        <v>0</v>
      </c>
      <c r="F66" s="49">
        <f t="shared" si="29"/>
        <v>0</v>
      </c>
      <c r="G66" s="50">
        <v>0</v>
      </c>
      <c r="H66" s="50">
        <f t="shared" si="30"/>
        <v>0</v>
      </c>
      <c r="I66" s="51">
        <f t="shared" si="31"/>
        <v>0</v>
      </c>
    </row>
    <row r="67" spans="3:15" x14ac:dyDescent="0.25">
      <c r="C67" s="46" t="s">
        <v>105</v>
      </c>
      <c r="D67" s="47">
        <v>0</v>
      </c>
      <c r="E67" s="48">
        <v>0</v>
      </c>
      <c r="F67" s="49">
        <f t="shared" si="29"/>
        <v>0</v>
      </c>
      <c r="G67" s="50">
        <v>0</v>
      </c>
      <c r="H67" s="50">
        <f t="shared" si="30"/>
        <v>0</v>
      </c>
      <c r="I67" s="51">
        <f t="shared" si="31"/>
        <v>0</v>
      </c>
    </row>
    <row r="68" spans="3:15" x14ac:dyDescent="0.25">
      <c r="C68" s="46" t="s">
        <v>106</v>
      </c>
      <c r="D68" s="47">
        <v>0</v>
      </c>
      <c r="E68" s="48">
        <v>0</v>
      </c>
      <c r="F68" s="49">
        <f t="shared" si="29"/>
        <v>0</v>
      </c>
      <c r="G68" s="50">
        <v>0</v>
      </c>
      <c r="H68" s="50">
        <f t="shared" si="30"/>
        <v>0</v>
      </c>
      <c r="I68" s="51">
        <f t="shared" si="31"/>
        <v>0</v>
      </c>
    </row>
    <row r="69" spans="3:15" x14ac:dyDescent="0.25">
      <c r="C69" s="46" t="s">
        <v>107</v>
      </c>
      <c r="D69" s="47">
        <v>0</v>
      </c>
      <c r="E69" s="48">
        <v>0</v>
      </c>
      <c r="F69" s="49">
        <f t="shared" si="29"/>
        <v>0</v>
      </c>
      <c r="G69" s="50">
        <v>0</v>
      </c>
      <c r="H69" s="50">
        <f t="shared" si="30"/>
        <v>0</v>
      </c>
      <c r="I69" s="51">
        <f t="shared" si="31"/>
        <v>0</v>
      </c>
    </row>
    <row r="70" spans="3:15" x14ac:dyDescent="0.25">
      <c r="C70" s="46" t="s">
        <v>108</v>
      </c>
      <c r="D70" s="47">
        <v>0</v>
      </c>
      <c r="E70" s="48">
        <v>0</v>
      </c>
      <c r="F70" s="49">
        <f t="shared" si="29"/>
        <v>0</v>
      </c>
      <c r="G70" s="50">
        <v>0</v>
      </c>
      <c r="H70" s="50">
        <f t="shared" si="30"/>
        <v>0</v>
      </c>
      <c r="I70" s="51">
        <f t="shared" si="31"/>
        <v>0</v>
      </c>
    </row>
    <row r="71" spans="3:15" x14ac:dyDescent="0.25">
      <c r="C71" s="46" t="s">
        <v>109</v>
      </c>
      <c r="D71" s="47">
        <v>0</v>
      </c>
      <c r="E71" s="48">
        <v>0</v>
      </c>
      <c r="F71" s="49">
        <f t="shared" si="29"/>
        <v>0</v>
      </c>
      <c r="G71" s="50">
        <v>0</v>
      </c>
      <c r="H71" s="50">
        <f t="shared" si="30"/>
        <v>0</v>
      </c>
      <c r="I71" s="51">
        <f t="shared" si="31"/>
        <v>0</v>
      </c>
    </row>
    <row r="72" spans="3:15" ht="24" x14ac:dyDescent="0.25">
      <c r="C72" s="46" t="s">
        <v>110</v>
      </c>
      <c r="D72" s="47">
        <v>0</v>
      </c>
      <c r="E72" s="48">
        <v>0</v>
      </c>
      <c r="F72" s="49">
        <f t="shared" si="29"/>
        <v>0</v>
      </c>
      <c r="G72" s="50">
        <v>0</v>
      </c>
      <c r="H72" s="50">
        <f t="shared" si="30"/>
        <v>0</v>
      </c>
      <c r="I72" s="51">
        <f t="shared" si="31"/>
        <v>0</v>
      </c>
    </row>
    <row r="73" spans="3:15" x14ac:dyDescent="0.25">
      <c r="C73" s="31" t="s">
        <v>111</v>
      </c>
      <c r="D73" s="32">
        <f>SUM(D74:D76)</f>
        <v>0</v>
      </c>
      <c r="E73" s="42">
        <f t="shared" ref="E73:I73" si="32">SUM(E74:E76)</f>
        <v>0</v>
      </c>
      <c r="F73" s="34">
        <f t="shared" si="32"/>
        <v>0</v>
      </c>
      <c r="G73" s="32">
        <f>SUM(G74:G76)</f>
        <v>0</v>
      </c>
      <c r="H73" s="32">
        <f t="shared" si="32"/>
        <v>0</v>
      </c>
      <c r="I73" s="43">
        <f t="shared" si="32"/>
        <v>0</v>
      </c>
    </row>
    <row r="74" spans="3:15" x14ac:dyDescent="0.25">
      <c r="C74" s="66" t="s">
        <v>112</v>
      </c>
      <c r="D74" s="47">
        <v>0</v>
      </c>
      <c r="E74" s="48">
        <v>0</v>
      </c>
      <c r="F74" s="49">
        <f t="shared" ref="F74:F76" si="33">D74+E74</f>
        <v>0</v>
      </c>
      <c r="G74" s="50">
        <v>0</v>
      </c>
      <c r="H74" s="50">
        <f t="shared" ref="H74:H76" si="34">G74</f>
        <v>0</v>
      </c>
      <c r="I74" s="51">
        <f t="shared" ref="I74:I76" si="35">F74-G74</f>
        <v>0</v>
      </c>
    </row>
    <row r="75" spans="3:15" x14ac:dyDescent="0.25">
      <c r="C75" s="66" t="s">
        <v>113</v>
      </c>
      <c r="D75" s="47">
        <v>0</v>
      </c>
      <c r="E75" s="48">
        <v>0</v>
      </c>
      <c r="F75" s="49">
        <f t="shared" si="33"/>
        <v>0</v>
      </c>
      <c r="G75" s="50">
        <v>0</v>
      </c>
      <c r="H75" s="50">
        <f t="shared" si="34"/>
        <v>0</v>
      </c>
      <c r="I75" s="51">
        <f t="shared" si="35"/>
        <v>0</v>
      </c>
    </row>
    <row r="76" spans="3:15" x14ac:dyDescent="0.25">
      <c r="C76" s="66" t="s">
        <v>114</v>
      </c>
      <c r="D76" s="47">
        <v>0</v>
      </c>
      <c r="E76" s="48">
        <v>0</v>
      </c>
      <c r="F76" s="49">
        <f t="shared" si="33"/>
        <v>0</v>
      </c>
      <c r="G76" s="50">
        <v>0</v>
      </c>
      <c r="H76" s="50">
        <f t="shared" si="34"/>
        <v>0</v>
      </c>
      <c r="I76" s="51">
        <f t="shared" si="35"/>
        <v>0</v>
      </c>
    </row>
    <row r="77" spans="3:15" x14ac:dyDescent="0.25">
      <c r="C77" s="31" t="s">
        <v>115</v>
      </c>
      <c r="D77" s="32">
        <f>SUM(D78:D84)</f>
        <v>0</v>
      </c>
      <c r="E77" s="42">
        <f t="shared" ref="E77:I77" si="36">SUM(E78:E84)</f>
        <v>0</v>
      </c>
      <c r="F77" s="34">
        <f t="shared" si="36"/>
        <v>0</v>
      </c>
      <c r="G77" s="32">
        <f>SUM(G78:G84)</f>
        <v>0</v>
      </c>
      <c r="H77" s="32">
        <f t="shared" si="36"/>
        <v>0</v>
      </c>
      <c r="I77" s="43">
        <f t="shared" si="36"/>
        <v>0</v>
      </c>
    </row>
    <row r="78" spans="3:15" x14ac:dyDescent="0.25">
      <c r="C78" s="46" t="s">
        <v>116</v>
      </c>
      <c r="D78" s="47">
        <v>0</v>
      </c>
      <c r="E78" s="48">
        <v>0</v>
      </c>
      <c r="F78" s="49">
        <f t="shared" ref="F78:F84" si="37">D78+E78</f>
        <v>0</v>
      </c>
      <c r="G78" s="50">
        <v>0</v>
      </c>
      <c r="H78" s="50">
        <f t="shared" ref="H78:H84" si="38">G78</f>
        <v>0</v>
      </c>
      <c r="I78" s="51">
        <f t="shared" ref="I78:I84" si="39">F78-G78</f>
        <v>0</v>
      </c>
    </row>
    <row r="79" spans="3:15" x14ac:dyDescent="0.25">
      <c r="C79" s="46" t="s">
        <v>117</v>
      </c>
      <c r="D79" s="47">
        <v>0</v>
      </c>
      <c r="E79" s="48">
        <v>0</v>
      </c>
      <c r="F79" s="49">
        <f t="shared" si="37"/>
        <v>0</v>
      </c>
      <c r="G79" s="50">
        <v>0</v>
      </c>
      <c r="H79" s="50">
        <f t="shared" si="38"/>
        <v>0</v>
      </c>
      <c r="I79" s="51">
        <f t="shared" si="39"/>
        <v>0</v>
      </c>
      <c r="M79" s="39"/>
      <c r="N79" s="52"/>
      <c r="O79" s="39"/>
    </row>
    <row r="80" spans="3:15" x14ac:dyDescent="0.25">
      <c r="C80" s="46" t="s">
        <v>118</v>
      </c>
      <c r="D80" s="47">
        <v>0</v>
      </c>
      <c r="E80" s="48">
        <v>0</v>
      </c>
      <c r="F80" s="49">
        <f t="shared" si="37"/>
        <v>0</v>
      </c>
      <c r="G80" s="50">
        <v>0</v>
      </c>
      <c r="H80" s="50">
        <f t="shared" si="38"/>
        <v>0</v>
      </c>
      <c r="I80" s="51">
        <f t="shared" si="39"/>
        <v>0</v>
      </c>
      <c r="M80" s="39"/>
    </row>
    <row r="81" spans="1:17" x14ac:dyDescent="0.25">
      <c r="C81" s="46" t="s">
        <v>119</v>
      </c>
      <c r="D81" s="47">
        <v>0</v>
      </c>
      <c r="E81" s="48">
        <v>0</v>
      </c>
      <c r="F81" s="49">
        <f t="shared" si="37"/>
        <v>0</v>
      </c>
      <c r="G81" s="50">
        <v>0</v>
      </c>
      <c r="H81" s="50">
        <f t="shared" si="38"/>
        <v>0</v>
      </c>
      <c r="I81" s="51">
        <f t="shared" si="39"/>
        <v>0</v>
      </c>
      <c r="M81" s="39"/>
    </row>
    <row r="82" spans="1:17" x14ac:dyDescent="0.25">
      <c r="C82" s="46" t="s">
        <v>120</v>
      </c>
      <c r="D82" s="47">
        <v>0</v>
      </c>
      <c r="E82" s="48">
        <v>0</v>
      </c>
      <c r="F82" s="49">
        <f t="shared" si="37"/>
        <v>0</v>
      </c>
      <c r="G82" s="50">
        <v>0</v>
      </c>
      <c r="H82" s="50">
        <f t="shared" si="38"/>
        <v>0</v>
      </c>
      <c r="I82" s="51">
        <f t="shared" si="39"/>
        <v>0</v>
      </c>
    </row>
    <row r="83" spans="1:17" x14ac:dyDescent="0.25">
      <c r="C83" s="46" t="s">
        <v>121</v>
      </c>
      <c r="D83" s="47">
        <v>0</v>
      </c>
      <c r="E83" s="48">
        <v>0</v>
      </c>
      <c r="F83" s="49">
        <f t="shared" si="37"/>
        <v>0</v>
      </c>
      <c r="G83" s="50">
        <v>0</v>
      </c>
      <c r="H83" s="50">
        <f t="shared" si="38"/>
        <v>0</v>
      </c>
      <c r="I83" s="51">
        <f t="shared" si="39"/>
        <v>0</v>
      </c>
    </row>
    <row r="84" spans="1:17" ht="15.75" thickBot="1" x14ac:dyDescent="0.3">
      <c r="C84" s="46" t="s">
        <v>122</v>
      </c>
      <c r="D84" s="47">
        <v>0</v>
      </c>
      <c r="E84" s="48">
        <v>0</v>
      </c>
      <c r="F84" s="49">
        <f t="shared" si="37"/>
        <v>0</v>
      </c>
      <c r="G84" s="50">
        <v>0</v>
      </c>
      <c r="H84" s="50">
        <f t="shared" si="38"/>
        <v>0</v>
      </c>
      <c r="I84" s="51">
        <f t="shared" si="39"/>
        <v>0</v>
      </c>
    </row>
    <row r="85" spans="1:17" x14ac:dyDescent="0.25">
      <c r="C85" s="67" t="s">
        <v>123</v>
      </c>
      <c r="D85" s="68">
        <f>SUM(D86,D94,D104,D114,D124,D134,D138,D147,D151)</f>
        <v>355444312</v>
      </c>
      <c r="E85" s="69">
        <f>SUM(E86,E94,E104,E114,E124,E134,E138,E147,E151)</f>
        <v>38579910.550000012</v>
      </c>
      <c r="F85" s="70">
        <f t="shared" ref="F85:H85" si="40">SUM(F86,F94,F104,F114,F124,F134,F138,F147,F151)</f>
        <v>394024222.55000001</v>
      </c>
      <c r="G85" s="68">
        <f>SUM(G86,G94,G104,G114,G124,G134,G138,G147,G151)</f>
        <v>389691684.27999997</v>
      </c>
      <c r="H85" s="68">
        <f t="shared" si="40"/>
        <v>389691684.27999997</v>
      </c>
      <c r="I85" s="71">
        <f>SUM(I86,I94,I104,I114,I124,I134,I138,I147,I151)</f>
        <v>4332538.2700000908</v>
      </c>
      <c r="J85" s="52"/>
      <c r="K85" s="72">
        <f>J85-G85+G124</f>
        <v>-387322773.86999995</v>
      </c>
      <c r="L85" t="s">
        <v>124</v>
      </c>
      <c r="M85" t="s">
        <v>125</v>
      </c>
      <c r="N85" t="s">
        <v>126</v>
      </c>
      <c r="O85" t="s">
        <v>127</v>
      </c>
      <c r="P85" t="s">
        <v>128</v>
      </c>
      <c r="Q85" t="s">
        <v>129</v>
      </c>
    </row>
    <row r="86" spans="1:17" x14ac:dyDescent="0.25">
      <c r="C86" s="73" t="s">
        <v>16</v>
      </c>
      <c r="D86" s="32">
        <f>SUM(D87:D93)</f>
        <v>0</v>
      </c>
      <c r="E86" s="42">
        <f t="shared" ref="E86:H86" si="41">SUM(E87:E93)</f>
        <v>12952573.540000001</v>
      </c>
      <c r="F86" s="34">
        <f t="shared" si="41"/>
        <v>12952573.540000001</v>
      </c>
      <c r="G86" s="32">
        <f t="shared" si="41"/>
        <v>11922136.92</v>
      </c>
      <c r="H86" s="32">
        <f t="shared" si="41"/>
        <v>11922136.92</v>
      </c>
      <c r="I86" s="43">
        <f>SUM(I87:I93)</f>
        <v>1030436.6200000007</v>
      </c>
      <c r="K86">
        <v>513</v>
      </c>
      <c r="L86" s="74">
        <v>0</v>
      </c>
      <c r="M86" s="75"/>
      <c r="N86" s="75"/>
      <c r="O86" s="75"/>
      <c r="P86" s="75"/>
      <c r="Q86" s="75"/>
    </row>
    <row r="87" spans="1:17" x14ac:dyDescent="0.25">
      <c r="A87" s="1">
        <v>1100</v>
      </c>
      <c r="C87" s="46" t="s">
        <v>17</v>
      </c>
      <c r="D87" s="47">
        <v>0</v>
      </c>
      <c r="E87" s="48">
        <v>0</v>
      </c>
      <c r="F87" s="49">
        <f t="shared" ref="F87:F93" si="42">D87+E87</f>
        <v>0</v>
      </c>
      <c r="G87" s="50">
        <v>0</v>
      </c>
      <c r="H87" s="50">
        <f>G87</f>
        <v>0</v>
      </c>
      <c r="I87" s="51">
        <f t="shared" ref="I87:I93" si="43">F87-G87</f>
        <v>0</v>
      </c>
      <c r="K87">
        <v>514</v>
      </c>
      <c r="L87" s="74">
        <v>0</v>
      </c>
      <c r="M87" s="75"/>
      <c r="N87" s="75"/>
      <c r="O87" s="75"/>
      <c r="P87" s="75"/>
      <c r="Q87" s="75"/>
    </row>
    <row r="88" spans="1:17" x14ac:dyDescent="0.25">
      <c r="A88" s="1">
        <v>1200</v>
      </c>
      <c r="C88" s="46" t="s">
        <v>18</v>
      </c>
      <c r="D88" s="47">
        <v>0</v>
      </c>
      <c r="E88" s="48">
        <v>11623223.890000001</v>
      </c>
      <c r="F88" s="49">
        <f t="shared" si="42"/>
        <v>11623223.890000001</v>
      </c>
      <c r="G88" s="50">
        <v>10922044.17</v>
      </c>
      <c r="H88" s="50">
        <f t="shared" ref="H88:H92" si="44">G88</f>
        <v>10922044.17</v>
      </c>
      <c r="I88" s="51">
        <f t="shared" si="43"/>
        <v>701179.72000000067</v>
      </c>
      <c r="J88" s="52">
        <f>G88-Q88</f>
        <v>10922044.17</v>
      </c>
      <c r="L88" s="39"/>
      <c r="M88" s="39"/>
      <c r="N88" s="39"/>
      <c r="O88" s="39"/>
      <c r="P88" s="39"/>
      <c r="Q88" s="39"/>
    </row>
    <row r="89" spans="1:17" x14ac:dyDescent="0.25">
      <c r="A89" s="1">
        <v>1300</v>
      </c>
      <c r="C89" s="46" t="s">
        <v>19</v>
      </c>
      <c r="D89" s="47">
        <v>0</v>
      </c>
      <c r="E89" s="48">
        <v>1000918.8</v>
      </c>
      <c r="F89" s="49">
        <f t="shared" si="42"/>
        <v>1000918.8</v>
      </c>
      <c r="G89" s="50">
        <v>1000092.75</v>
      </c>
      <c r="H89" s="50">
        <f t="shared" si="44"/>
        <v>1000092.75</v>
      </c>
      <c r="I89" s="51">
        <f t="shared" si="43"/>
        <v>826.05000000004657</v>
      </c>
    </row>
    <row r="90" spans="1:17" x14ac:dyDescent="0.25">
      <c r="A90" s="1">
        <v>1400</v>
      </c>
      <c r="C90" s="46" t="s">
        <v>20</v>
      </c>
      <c r="D90" s="47">
        <v>0</v>
      </c>
      <c r="E90" s="48">
        <v>328430.84999999998</v>
      </c>
      <c r="F90" s="49">
        <f t="shared" si="42"/>
        <v>328430.84999999998</v>
      </c>
      <c r="G90" s="50">
        <v>0</v>
      </c>
      <c r="H90" s="50">
        <f t="shared" si="44"/>
        <v>0</v>
      </c>
      <c r="I90" s="51">
        <f t="shared" si="43"/>
        <v>328430.84999999998</v>
      </c>
      <c r="L90" t="s">
        <v>130</v>
      </c>
      <c r="O90" t="s">
        <v>131</v>
      </c>
    </row>
    <row r="91" spans="1:17" x14ac:dyDescent="0.25">
      <c r="A91" s="1">
        <v>1500</v>
      </c>
      <c r="C91" s="46" t="s">
        <v>21</v>
      </c>
      <c r="D91" s="47">
        <v>0</v>
      </c>
      <c r="E91" s="48">
        <v>0</v>
      </c>
      <c r="F91" s="49">
        <f t="shared" si="42"/>
        <v>0</v>
      </c>
      <c r="G91" s="50">
        <v>0</v>
      </c>
      <c r="H91" s="50">
        <f t="shared" si="44"/>
        <v>0</v>
      </c>
      <c r="I91" s="51">
        <f t="shared" si="43"/>
        <v>0</v>
      </c>
    </row>
    <row r="92" spans="1:17" x14ac:dyDescent="0.25">
      <c r="A92" s="1">
        <v>1600</v>
      </c>
      <c r="C92" s="46" t="s">
        <v>22</v>
      </c>
      <c r="D92" s="47">
        <v>0</v>
      </c>
      <c r="E92" s="48">
        <v>0</v>
      </c>
      <c r="F92" s="49">
        <f t="shared" si="42"/>
        <v>0</v>
      </c>
      <c r="G92" s="50">
        <v>0</v>
      </c>
      <c r="H92" s="50">
        <f t="shared" si="44"/>
        <v>0</v>
      </c>
      <c r="I92" s="51">
        <f t="shared" si="43"/>
        <v>0</v>
      </c>
    </row>
    <row r="93" spans="1:17" x14ac:dyDescent="0.25">
      <c r="A93" s="1">
        <v>1700</v>
      </c>
      <c r="C93" s="46" t="s">
        <v>23</v>
      </c>
      <c r="D93" s="47">
        <v>0</v>
      </c>
      <c r="E93" s="48">
        <v>0</v>
      </c>
      <c r="F93" s="49">
        <f t="shared" si="42"/>
        <v>0</v>
      </c>
      <c r="G93" s="50">
        <v>0</v>
      </c>
      <c r="H93" s="50">
        <f>G93</f>
        <v>0</v>
      </c>
      <c r="I93" s="51">
        <f t="shared" si="43"/>
        <v>0</v>
      </c>
      <c r="K93" s="39"/>
    </row>
    <row r="94" spans="1:17" x14ac:dyDescent="0.25">
      <c r="C94" s="76" t="s">
        <v>24</v>
      </c>
      <c r="D94" s="32">
        <f>SUM(D95:D103)</f>
        <v>0</v>
      </c>
      <c r="E94" s="42">
        <f t="shared" ref="E94:I94" si="45">SUM(E95:E103)</f>
        <v>8843510.5</v>
      </c>
      <c r="F94" s="34">
        <f t="shared" si="45"/>
        <v>8843510.5</v>
      </c>
      <c r="G94" s="32">
        <f>SUM(G95:G103)</f>
        <v>8509801</v>
      </c>
      <c r="H94" s="32">
        <f t="shared" si="45"/>
        <v>8509801</v>
      </c>
      <c r="I94" s="43">
        <f t="shared" si="45"/>
        <v>333709.50000000047</v>
      </c>
    </row>
    <row r="95" spans="1:17" ht="24" x14ac:dyDescent="0.25">
      <c r="A95" s="1">
        <v>2100</v>
      </c>
      <c r="C95" s="46" t="s">
        <v>25</v>
      </c>
      <c r="D95" s="47">
        <v>0</v>
      </c>
      <c r="E95" s="48">
        <v>1100084.72</v>
      </c>
      <c r="F95" s="49">
        <f t="shared" ref="F95:F103" si="46">D95+E95</f>
        <v>1100084.72</v>
      </c>
      <c r="G95" s="50">
        <v>1067906.3700000001</v>
      </c>
      <c r="H95" s="50">
        <f t="shared" ref="H95:H103" si="47">G95</f>
        <v>1067906.3700000001</v>
      </c>
      <c r="I95" s="51">
        <f t="shared" ref="I95:I103" si="48">F95-G95</f>
        <v>32178.34999999986</v>
      </c>
    </row>
    <row r="96" spans="1:17" x14ac:dyDescent="0.25">
      <c r="A96" s="1">
        <v>2200</v>
      </c>
      <c r="C96" s="46" t="s">
        <v>26</v>
      </c>
      <c r="D96" s="47">
        <v>0</v>
      </c>
      <c r="E96" s="48">
        <v>5242281.5600000005</v>
      </c>
      <c r="F96" s="49">
        <f t="shared" si="46"/>
        <v>5242281.5600000005</v>
      </c>
      <c r="G96" s="50">
        <v>5061568.05</v>
      </c>
      <c r="H96" s="50">
        <f t="shared" si="47"/>
        <v>5061568.05</v>
      </c>
      <c r="I96" s="51">
        <f t="shared" si="48"/>
        <v>180713.51000000071</v>
      </c>
    </row>
    <row r="97" spans="1:11" x14ac:dyDescent="0.25">
      <c r="A97" s="1">
        <v>2300</v>
      </c>
      <c r="C97" s="46" t="s">
        <v>27</v>
      </c>
      <c r="D97" s="47">
        <v>0</v>
      </c>
      <c r="E97" s="48">
        <v>0</v>
      </c>
      <c r="F97" s="49">
        <f t="shared" si="46"/>
        <v>0</v>
      </c>
      <c r="G97" s="50">
        <v>0</v>
      </c>
      <c r="H97" s="50">
        <f t="shared" si="47"/>
        <v>0</v>
      </c>
      <c r="I97" s="51">
        <f t="shared" si="48"/>
        <v>0</v>
      </c>
    </row>
    <row r="98" spans="1:11" x14ac:dyDescent="0.25">
      <c r="A98" s="1">
        <v>2400</v>
      </c>
      <c r="C98" s="46" t="s">
        <v>28</v>
      </c>
      <c r="D98" s="47">
        <v>0</v>
      </c>
      <c r="E98" s="48">
        <v>13190.92</v>
      </c>
      <c r="F98" s="49">
        <f t="shared" si="46"/>
        <v>13190.92</v>
      </c>
      <c r="G98" s="50">
        <v>11415.699999999999</v>
      </c>
      <c r="H98" s="50">
        <f t="shared" si="47"/>
        <v>11415.699999999999</v>
      </c>
      <c r="I98" s="51">
        <f t="shared" si="48"/>
        <v>1775.2200000000012</v>
      </c>
    </row>
    <row r="99" spans="1:11" x14ac:dyDescent="0.25">
      <c r="A99" s="1">
        <v>2500</v>
      </c>
      <c r="C99" s="46" t="s">
        <v>29</v>
      </c>
      <c r="D99" s="47">
        <v>0</v>
      </c>
      <c r="E99" s="48">
        <v>728532.2</v>
      </c>
      <c r="F99" s="49">
        <f t="shared" si="46"/>
        <v>728532.2</v>
      </c>
      <c r="G99" s="50">
        <v>678893.84</v>
      </c>
      <c r="H99" s="50">
        <f t="shared" si="47"/>
        <v>678893.84</v>
      </c>
      <c r="I99" s="51">
        <f t="shared" si="48"/>
        <v>49638.359999999986</v>
      </c>
      <c r="K99" s="52"/>
    </row>
    <row r="100" spans="1:11" x14ac:dyDescent="0.25">
      <c r="A100" s="1">
        <v>2600</v>
      </c>
      <c r="C100" s="46" t="s">
        <v>30</v>
      </c>
      <c r="D100" s="47">
        <v>0</v>
      </c>
      <c r="E100" s="48">
        <v>0</v>
      </c>
      <c r="F100" s="49">
        <f t="shared" si="46"/>
        <v>0</v>
      </c>
      <c r="G100" s="50">
        <v>0</v>
      </c>
      <c r="H100" s="50">
        <f t="shared" si="47"/>
        <v>0</v>
      </c>
      <c r="I100" s="51">
        <f t="shared" si="48"/>
        <v>0</v>
      </c>
    </row>
    <row r="101" spans="1:11" ht="24" x14ac:dyDescent="0.25">
      <c r="A101" s="1">
        <v>2700</v>
      </c>
      <c r="C101" s="46" t="s">
        <v>31</v>
      </c>
      <c r="D101" s="47">
        <v>0</v>
      </c>
      <c r="E101" s="48">
        <v>984763.01</v>
      </c>
      <c r="F101" s="49">
        <f t="shared" si="46"/>
        <v>984763.01</v>
      </c>
      <c r="G101" s="50">
        <v>915389.47</v>
      </c>
      <c r="H101" s="50">
        <f t="shared" si="47"/>
        <v>915389.47</v>
      </c>
      <c r="I101" s="51">
        <f t="shared" si="48"/>
        <v>69373.540000000037</v>
      </c>
    </row>
    <row r="102" spans="1:11" x14ac:dyDescent="0.25">
      <c r="A102" s="1">
        <v>2800</v>
      </c>
      <c r="C102" s="46" t="s">
        <v>32</v>
      </c>
      <c r="D102" s="47">
        <v>0</v>
      </c>
      <c r="E102" s="48">
        <v>0</v>
      </c>
      <c r="F102" s="49">
        <f t="shared" si="46"/>
        <v>0</v>
      </c>
      <c r="G102" s="50">
        <v>0</v>
      </c>
      <c r="H102" s="50">
        <f t="shared" si="47"/>
        <v>0</v>
      </c>
      <c r="I102" s="51">
        <f t="shared" si="48"/>
        <v>0</v>
      </c>
    </row>
    <row r="103" spans="1:11" x14ac:dyDescent="0.25">
      <c r="A103" s="1">
        <v>2900</v>
      </c>
      <c r="C103" s="46" t="s">
        <v>33</v>
      </c>
      <c r="D103" s="47">
        <v>0</v>
      </c>
      <c r="E103" s="48">
        <v>774658.09</v>
      </c>
      <c r="F103" s="49">
        <f t="shared" si="46"/>
        <v>774658.09</v>
      </c>
      <c r="G103" s="50">
        <v>774627.57000000007</v>
      </c>
      <c r="H103" s="50">
        <f t="shared" si="47"/>
        <v>774627.57000000007</v>
      </c>
      <c r="I103" s="51">
        <f t="shared" si="48"/>
        <v>30.519999999902211</v>
      </c>
    </row>
    <row r="104" spans="1:11" x14ac:dyDescent="0.25">
      <c r="C104" s="76" t="s">
        <v>34</v>
      </c>
      <c r="D104" s="32">
        <f>SUM(D105:D113)</f>
        <v>0</v>
      </c>
      <c r="E104" s="42">
        <f t="shared" ref="E104:I104" si="49">SUM(E105:E113)</f>
        <v>7710706.7400000002</v>
      </c>
      <c r="F104" s="34">
        <f t="shared" si="49"/>
        <v>7710706.7400000002</v>
      </c>
      <c r="G104" s="32">
        <f>SUM(G105:G113)</f>
        <v>6660361.8900000015</v>
      </c>
      <c r="H104" s="32">
        <f t="shared" si="49"/>
        <v>6660361.8900000015</v>
      </c>
      <c r="I104" s="43">
        <f t="shared" si="49"/>
        <v>1050344.8499999985</v>
      </c>
    </row>
    <row r="105" spans="1:11" x14ac:dyDescent="0.25">
      <c r="A105" s="1">
        <v>3100</v>
      </c>
      <c r="C105" s="46" t="s">
        <v>35</v>
      </c>
      <c r="D105" s="47">
        <v>0</v>
      </c>
      <c r="E105" s="48">
        <v>717317.61</v>
      </c>
      <c r="F105" s="49">
        <f t="shared" ref="F105:F113" si="50">D105+E105</f>
        <v>717317.61</v>
      </c>
      <c r="G105" s="50">
        <v>597689.62</v>
      </c>
      <c r="H105" s="50">
        <f t="shared" ref="H105:H113" si="51">G105</f>
        <v>597689.62</v>
      </c>
      <c r="I105" s="51">
        <f t="shared" ref="I105:I113" si="52">F105-G105</f>
        <v>119627.98999999999</v>
      </c>
    </row>
    <row r="106" spans="1:11" x14ac:dyDescent="0.25">
      <c r="A106" s="1">
        <v>3200</v>
      </c>
      <c r="C106" s="46" t="s">
        <v>36</v>
      </c>
      <c r="D106" s="47">
        <v>0</v>
      </c>
      <c r="E106" s="48">
        <v>6038.37</v>
      </c>
      <c r="F106" s="49">
        <f t="shared" si="50"/>
        <v>6038.37</v>
      </c>
      <c r="G106" s="50">
        <v>0</v>
      </c>
      <c r="H106" s="50">
        <f t="shared" si="51"/>
        <v>0</v>
      </c>
      <c r="I106" s="51">
        <f t="shared" si="52"/>
        <v>6038.37</v>
      </c>
    </row>
    <row r="107" spans="1:11" x14ac:dyDescent="0.25">
      <c r="A107" s="1">
        <v>3300</v>
      </c>
      <c r="C107" s="46" t="s">
        <v>37</v>
      </c>
      <c r="D107" s="47">
        <v>0</v>
      </c>
      <c r="E107" s="48">
        <v>603059.83000000007</v>
      </c>
      <c r="F107" s="49">
        <f t="shared" si="50"/>
        <v>603059.83000000007</v>
      </c>
      <c r="G107" s="50">
        <v>584977.20000000007</v>
      </c>
      <c r="H107" s="50">
        <f t="shared" si="51"/>
        <v>584977.20000000007</v>
      </c>
      <c r="I107" s="51">
        <f t="shared" si="52"/>
        <v>18082.630000000005</v>
      </c>
    </row>
    <row r="108" spans="1:11" x14ac:dyDescent="0.25">
      <c r="A108" s="1">
        <v>3400</v>
      </c>
      <c r="C108" s="46" t="s">
        <v>38</v>
      </c>
      <c r="D108" s="47">
        <v>0</v>
      </c>
      <c r="E108" s="48">
        <v>735460</v>
      </c>
      <c r="F108" s="49">
        <f t="shared" si="50"/>
        <v>735460</v>
      </c>
      <c r="G108" s="50">
        <v>35460</v>
      </c>
      <c r="H108" s="50">
        <f t="shared" si="51"/>
        <v>35460</v>
      </c>
      <c r="I108" s="51">
        <f t="shared" si="52"/>
        <v>700000</v>
      </c>
    </row>
    <row r="109" spans="1:11" ht="24" x14ac:dyDescent="0.25">
      <c r="A109" s="1">
        <v>3500</v>
      </c>
      <c r="C109" s="46" t="s">
        <v>39</v>
      </c>
      <c r="D109" s="47">
        <v>0</v>
      </c>
      <c r="E109" s="48">
        <v>5648830.9299999997</v>
      </c>
      <c r="F109" s="49">
        <f t="shared" si="50"/>
        <v>5648830.9299999997</v>
      </c>
      <c r="G109" s="50">
        <v>5442235.0700000012</v>
      </c>
      <c r="H109" s="50">
        <f t="shared" si="51"/>
        <v>5442235.0700000012</v>
      </c>
      <c r="I109" s="51">
        <f t="shared" si="52"/>
        <v>206595.85999999847</v>
      </c>
    </row>
    <row r="110" spans="1:11" x14ac:dyDescent="0.25">
      <c r="A110" s="1">
        <v>3600</v>
      </c>
      <c r="C110" s="46" t="s">
        <v>40</v>
      </c>
      <c r="D110" s="47">
        <v>0</v>
      </c>
      <c r="E110" s="48">
        <v>0</v>
      </c>
      <c r="F110" s="49">
        <f t="shared" si="50"/>
        <v>0</v>
      </c>
      <c r="G110" s="50">
        <v>0</v>
      </c>
      <c r="H110" s="50">
        <f t="shared" si="51"/>
        <v>0</v>
      </c>
      <c r="I110" s="51">
        <f t="shared" si="52"/>
        <v>0</v>
      </c>
    </row>
    <row r="111" spans="1:11" x14ac:dyDescent="0.25">
      <c r="A111" s="1">
        <v>3700</v>
      </c>
      <c r="C111" s="46" t="s">
        <v>41</v>
      </c>
      <c r="D111" s="47">
        <v>0</v>
      </c>
      <c r="E111" s="48">
        <v>0</v>
      </c>
      <c r="F111" s="49">
        <f t="shared" si="50"/>
        <v>0</v>
      </c>
      <c r="G111" s="50">
        <v>0</v>
      </c>
      <c r="H111" s="50">
        <f t="shared" si="51"/>
        <v>0</v>
      </c>
      <c r="I111" s="51">
        <f t="shared" si="52"/>
        <v>0</v>
      </c>
    </row>
    <row r="112" spans="1:11" x14ac:dyDescent="0.25">
      <c r="A112" s="1">
        <v>3800</v>
      </c>
      <c r="C112" s="46" t="s">
        <v>42</v>
      </c>
      <c r="D112" s="47">
        <v>0</v>
      </c>
      <c r="E112" s="48">
        <v>0</v>
      </c>
      <c r="F112" s="49">
        <f t="shared" si="50"/>
        <v>0</v>
      </c>
      <c r="G112" s="50">
        <v>0</v>
      </c>
      <c r="H112" s="50">
        <f t="shared" si="51"/>
        <v>0</v>
      </c>
      <c r="I112" s="51">
        <f t="shared" si="52"/>
        <v>0</v>
      </c>
    </row>
    <row r="113" spans="1:29" x14ac:dyDescent="0.25">
      <c r="A113" s="1">
        <v>3900</v>
      </c>
      <c r="C113" s="46" t="s">
        <v>43</v>
      </c>
      <c r="D113" s="47">
        <v>0</v>
      </c>
      <c r="E113" s="48">
        <v>0</v>
      </c>
      <c r="F113" s="49">
        <f t="shared" si="50"/>
        <v>0</v>
      </c>
      <c r="G113" s="50">
        <v>0</v>
      </c>
      <c r="H113" s="50">
        <f t="shared" si="51"/>
        <v>0</v>
      </c>
      <c r="I113" s="51">
        <f t="shared" si="52"/>
        <v>0</v>
      </c>
    </row>
    <row r="114" spans="1:29" ht="24" x14ac:dyDescent="0.25">
      <c r="C114" s="76" t="s">
        <v>44</v>
      </c>
      <c r="D114" s="32">
        <f>SUM(D115:D123)</f>
        <v>355444312</v>
      </c>
      <c r="E114" s="42">
        <f t="shared" ref="E114:I114" si="53">SUM(E115:E123)</f>
        <v>6684312.5900000092</v>
      </c>
      <c r="F114" s="34">
        <f t="shared" si="53"/>
        <v>362128624.59000003</v>
      </c>
      <c r="G114" s="32">
        <f>SUM(G115:G123)</f>
        <v>360230474.05999994</v>
      </c>
      <c r="H114" s="32">
        <f t="shared" si="53"/>
        <v>360230474.05999994</v>
      </c>
      <c r="I114" s="43">
        <f t="shared" si="53"/>
        <v>1898150.5300000906</v>
      </c>
      <c r="L114" s="52"/>
    </row>
    <row r="115" spans="1:29" x14ac:dyDescent="0.25">
      <c r="A115" s="1">
        <v>4100</v>
      </c>
      <c r="C115" s="46" t="s">
        <v>45</v>
      </c>
      <c r="D115" s="47">
        <v>0</v>
      </c>
      <c r="E115" s="48">
        <v>0</v>
      </c>
      <c r="F115" s="49">
        <f t="shared" ref="F115:F123" si="54">D115+E115</f>
        <v>0</v>
      </c>
      <c r="G115" s="50">
        <v>0</v>
      </c>
      <c r="H115" s="50">
        <f t="shared" ref="H115:H123" si="55">G115</f>
        <v>0</v>
      </c>
      <c r="I115" s="51">
        <f t="shared" ref="I115:I123" si="56">F115-G115</f>
        <v>0</v>
      </c>
    </row>
    <row r="116" spans="1:29" x14ac:dyDescent="0.25">
      <c r="A116" s="1">
        <v>4200</v>
      </c>
      <c r="C116" s="46" t="s">
        <v>46</v>
      </c>
      <c r="D116" s="47">
        <v>0</v>
      </c>
      <c r="E116" s="48">
        <v>0</v>
      </c>
      <c r="F116" s="49">
        <f t="shared" si="54"/>
        <v>0</v>
      </c>
      <c r="G116" s="50">
        <v>0</v>
      </c>
      <c r="H116" s="50">
        <f t="shared" si="55"/>
        <v>0</v>
      </c>
      <c r="I116" s="51">
        <f t="shared" si="56"/>
        <v>0</v>
      </c>
    </row>
    <row r="117" spans="1:29" x14ac:dyDescent="0.25">
      <c r="A117" s="1">
        <v>4300</v>
      </c>
      <c r="C117" s="46" t="s">
        <v>47</v>
      </c>
      <c r="D117" s="47">
        <v>0</v>
      </c>
      <c r="E117" s="48">
        <v>0</v>
      </c>
      <c r="F117" s="49">
        <f t="shared" si="54"/>
        <v>0</v>
      </c>
      <c r="G117" s="50">
        <v>0</v>
      </c>
      <c r="H117" s="50">
        <f t="shared" si="55"/>
        <v>0</v>
      </c>
      <c r="I117" s="51">
        <f t="shared" si="56"/>
        <v>0</v>
      </c>
      <c r="T117" t="s">
        <v>55</v>
      </c>
    </row>
    <row r="118" spans="1:29" x14ac:dyDescent="0.25">
      <c r="A118" s="1">
        <v>4400</v>
      </c>
      <c r="C118" s="46" t="s">
        <v>48</v>
      </c>
      <c r="D118" s="47">
        <v>355444312</v>
      </c>
      <c r="E118" s="48">
        <f>6678628.32000001+5684.27</f>
        <v>6684312.5900000092</v>
      </c>
      <c r="F118" s="49">
        <f t="shared" si="54"/>
        <v>362128624.59000003</v>
      </c>
      <c r="G118" s="77">
        <v>360230474.05999994</v>
      </c>
      <c r="H118" s="50">
        <f t="shared" si="55"/>
        <v>360230474.05999994</v>
      </c>
      <c r="I118" s="51">
        <f>F118-G118</f>
        <v>1898150.5300000906</v>
      </c>
      <c r="J118" s="52"/>
      <c r="T118" s="39"/>
    </row>
    <row r="119" spans="1:29" x14ac:dyDescent="0.25">
      <c r="A119" s="1">
        <v>4500</v>
      </c>
      <c r="C119" s="46" t="s">
        <v>49</v>
      </c>
      <c r="D119" s="47">
        <v>0</v>
      </c>
      <c r="E119" s="48">
        <v>0</v>
      </c>
      <c r="F119" s="49">
        <f t="shared" si="54"/>
        <v>0</v>
      </c>
      <c r="G119" s="50">
        <v>0</v>
      </c>
      <c r="H119" s="50">
        <f t="shared" si="55"/>
        <v>0</v>
      </c>
      <c r="I119" s="51">
        <f t="shared" si="56"/>
        <v>0</v>
      </c>
      <c r="J119" s="52"/>
      <c r="T119" s="39"/>
    </row>
    <row r="120" spans="1:29" x14ac:dyDescent="0.25">
      <c r="C120" s="46" t="s">
        <v>50</v>
      </c>
      <c r="D120" s="47">
        <v>0</v>
      </c>
      <c r="E120" s="48">
        <v>0</v>
      </c>
      <c r="F120" s="49">
        <f t="shared" si="54"/>
        <v>0</v>
      </c>
      <c r="G120" s="50">
        <v>0</v>
      </c>
      <c r="H120" s="50">
        <f t="shared" si="55"/>
        <v>0</v>
      </c>
      <c r="I120" s="51">
        <f t="shared" si="56"/>
        <v>0</v>
      </c>
      <c r="T120" s="39"/>
    </row>
    <row r="121" spans="1:29" x14ac:dyDescent="0.25">
      <c r="C121" s="46" t="s">
        <v>51</v>
      </c>
      <c r="D121" s="47">
        <v>0</v>
      </c>
      <c r="E121" s="48">
        <v>0</v>
      </c>
      <c r="F121" s="49">
        <f t="shared" si="54"/>
        <v>0</v>
      </c>
      <c r="G121" s="50">
        <v>0</v>
      </c>
      <c r="H121" s="50">
        <f t="shared" si="55"/>
        <v>0</v>
      </c>
      <c r="I121" s="51">
        <f t="shared" si="56"/>
        <v>0</v>
      </c>
      <c r="T121" s="39"/>
    </row>
    <row r="122" spans="1:29" x14ac:dyDescent="0.25">
      <c r="C122" s="46" t="s">
        <v>53</v>
      </c>
      <c r="D122" s="47">
        <v>0</v>
      </c>
      <c r="E122" s="48">
        <v>0</v>
      </c>
      <c r="F122" s="49">
        <f t="shared" si="54"/>
        <v>0</v>
      </c>
      <c r="G122" s="50">
        <v>0</v>
      </c>
      <c r="H122" s="50">
        <f t="shared" si="55"/>
        <v>0</v>
      </c>
      <c r="I122" s="51">
        <f t="shared" si="56"/>
        <v>0</v>
      </c>
      <c r="T122" s="39"/>
    </row>
    <row r="123" spans="1:29" ht="15.75" thickBot="1" x14ac:dyDescent="0.3">
      <c r="C123" s="46" t="s">
        <v>54</v>
      </c>
      <c r="D123" s="47">
        <v>0</v>
      </c>
      <c r="E123" s="48">
        <v>0</v>
      </c>
      <c r="F123" s="49">
        <f t="shared" si="54"/>
        <v>0</v>
      </c>
      <c r="G123" s="50">
        <v>0</v>
      </c>
      <c r="H123" s="50">
        <f t="shared" si="55"/>
        <v>0</v>
      </c>
      <c r="I123" s="51">
        <f t="shared" si="56"/>
        <v>0</v>
      </c>
      <c r="T123" s="39"/>
    </row>
    <row r="124" spans="1:29" ht="24" x14ac:dyDescent="0.25">
      <c r="C124" s="76" t="s">
        <v>67</v>
      </c>
      <c r="D124" s="32">
        <f>SUM(D125:D133)</f>
        <v>0</v>
      </c>
      <c r="E124" s="42">
        <f t="shared" ref="E124:I124" si="57">SUM(E125:E133)</f>
        <v>2388807.1799999997</v>
      </c>
      <c r="F124" s="34">
        <f t="shared" si="57"/>
        <v>2388807.1799999997</v>
      </c>
      <c r="G124" s="32">
        <f>SUM(G125:G133)</f>
        <v>2368910.4099999997</v>
      </c>
      <c r="H124" s="32">
        <f t="shared" si="57"/>
        <v>2368910.4099999997</v>
      </c>
      <c r="I124" s="43">
        <f t="shared" si="57"/>
        <v>19896.770000000019</v>
      </c>
      <c r="J124" s="78"/>
      <c r="L124" s="55" t="s">
        <v>132</v>
      </c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7"/>
    </row>
    <row r="125" spans="1:29" ht="15.75" thickBot="1" x14ac:dyDescent="0.3">
      <c r="A125" s="1">
        <v>5100</v>
      </c>
      <c r="C125" s="46" t="s">
        <v>69</v>
      </c>
      <c r="D125" s="47">
        <v>0</v>
      </c>
      <c r="E125" s="48">
        <v>2334838.5699999998</v>
      </c>
      <c r="F125" s="49">
        <f t="shared" ref="F125:F133" si="58">D125+E125</f>
        <v>2334838.5699999998</v>
      </c>
      <c r="G125" s="50">
        <f>Z128</f>
        <v>2314942.7999999998</v>
      </c>
      <c r="H125" s="50">
        <f>G125</f>
        <v>2314942.7999999998</v>
      </c>
      <c r="I125" s="51">
        <f t="shared" ref="I125:I133" si="59">F125-G125</f>
        <v>19895.770000000019</v>
      </c>
      <c r="L125" s="58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60"/>
    </row>
    <row r="126" spans="1:29" x14ac:dyDescent="0.25">
      <c r="A126" s="1">
        <v>5200</v>
      </c>
      <c r="C126" s="46" t="s">
        <v>74</v>
      </c>
      <c r="D126" s="47">
        <v>0</v>
      </c>
      <c r="E126" s="48">
        <v>0</v>
      </c>
      <c r="F126" s="49">
        <f t="shared" si="58"/>
        <v>0</v>
      </c>
      <c r="G126" s="50">
        <f t="shared" ref="G126:G133" si="60">Z129</f>
        <v>0</v>
      </c>
      <c r="H126" s="50">
        <f t="shared" ref="H126:H133" si="61">G126</f>
        <v>0</v>
      </c>
      <c r="I126" s="51">
        <f t="shared" si="59"/>
        <v>0</v>
      </c>
      <c r="L126" s="61" t="s">
        <v>55</v>
      </c>
      <c r="M126" s="61" t="s">
        <v>56</v>
      </c>
      <c r="N126" s="61" t="s">
        <v>57</v>
      </c>
      <c r="O126" s="61" t="s">
        <v>58</v>
      </c>
      <c r="P126" s="61" t="s">
        <v>59</v>
      </c>
      <c r="Q126" s="61" t="s">
        <v>60</v>
      </c>
      <c r="R126" s="61" t="s">
        <v>61</v>
      </c>
      <c r="S126" s="61" t="s">
        <v>62</v>
      </c>
      <c r="T126" s="61" t="s">
        <v>63</v>
      </c>
      <c r="U126" s="61" t="s">
        <v>64</v>
      </c>
      <c r="V126" s="61" t="s">
        <v>65</v>
      </c>
      <c r="W126" s="61" t="s">
        <v>66</v>
      </c>
    </row>
    <row r="127" spans="1:29" x14ac:dyDescent="0.25">
      <c r="A127" s="1">
        <v>5300</v>
      </c>
      <c r="C127" s="46" t="s">
        <v>77</v>
      </c>
      <c r="D127" s="47">
        <v>0</v>
      </c>
      <c r="E127" s="48">
        <v>0</v>
      </c>
      <c r="F127" s="49">
        <f t="shared" si="58"/>
        <v>0</v>
      </c>
      <c r="G127" s="50">
        <f t="shared" si="60"/>
        <v>0</v>
      </c>
      <c r="H127" s="50">
        <f t="shared" si="61"/>
        <v>0</v>
      </c>
      <c r="I127" s="51">
        <f t="shared" si="59"/>
        <v>0</v>
      </c>
      <c r="K127" s="39">
        <f>SUM(L127:W127)</f>
        <v>2368910.41</v>
      </c>
      <c r="L127" s="62">
        <f t="shared" ref="L127:V127" si="62">SUM(L128:L136)</f>
        <v>1845254.04</v>
      </c>
      <c r="M127" s="62">
        <f t="shared" si="62"/>
        <v>24150.01</v>
      </c>
      <c r="N127" s="62">
        <f t="shared" si="62"/>
        <v>225520.04</v>
      </c>
      <c r="O127" s="62">
        <f t="shared" si="62"/>
        <v>-3678.8500000000004</v>
      </c>
      <c r="P127" s="62">
        <f t="shared" si="62"/>
        <v>175293.4</v>
      </c>
      <c r="Q127" s="62">
        <f t="shared" si="62"/>
        <v>77671.77</v>
      </c>
      <c r="R127" s="62">
        <f t="shared" si="62"/>
        <v>24700</v>
      </c>
      <c r="S127" s="62">
        <f t="shared" si="62"/>
        <v>0</v>
      </c>
      <c r="T127" s="62">
        <f t="shared" si="62"/>
        <v>0</v>
      </c>
      <c r="U127" s="62">
        <f t="shared" si="62"/>
        <v>0</v>
      </c>
      <c r="V127" s="62">
        <f t="shared" si="62"/>
        <v>0</v>
      </c>
      <c r="W127" s="62">
        <f>SUM(W128:W136)</f>
        <v>0</v>
      </c>
      <c r="AB127" t="s">
        <v>133</v>
      </c>
    </row>
    <row r="128" spans="1:29" x14ac:dyDescent="0.25">
      <c r="A128" s="1">
        <v>5400</v>
      </c>
      <c r="C128" s="46" t="s">
        <v>80</v>
      </c>
      <c r="D128" s="47">
        <v>0</v>
      </c>
      <c r="E128" s="48">
        <v>0</v>
      </c>
      <c r="F128" s="49">
        <f t="shared" si="58"/>
        <v>0</v>
      </c>
      <c r="G128" s="50">
        <f t="shared" si="60"/>
        <v>0</v>
      </c>
      <c r="H128" s="50">
        <f t="shared" si="61"/>
        <v>0</v>
      </c>
      <c r="I128" s="51">
        <f t="shared" si="59"/>
        <v>0</v>
      </c>
      <c r="L128" s="64">
        <f>95568.04+1759553.54-9867.54</f>
        <v>1845254.04</v>
      </c>
      <c r="M128" s="64"/>
      <c r="N128" s="64">
        <f>[1]Activo!F176+[1]Activo!F186+[1]Activo!F187+[1]Activo!F177+[1]Activo!F196+[1]Activo!F197+[1]Activo!F200+[1]Activo!F201</f>
        <v>195702.44</v>
      </c>
      <c r="O128" s="64">
        <f>10937.15-14616</f>
        <v>-3678.8500000000004</v>
      </c>
      <c r="P128" s="64">
        <f>14616+147859.4+12818</f>
        <v>175293.4</v>
      </c>
      <c r="Q128" s="64">
        <f>+[1]Activo!F375+[1]Activo!F376+[1]Activo!F377+[1]Activo!F378</f>
        <v>77671.77</v>
      </c>
      <c r="R128" s="64">
        <v>24700</v>
      </c>
      <c r="S128" s="64"/>
      <c r="T128" s="64"/>
      <c r="U128" s="64"/>
      <c r="V128" s="64"/>
      <c r="W128" s="64"/>
      <c r="X128" s="46" t="s">
        <v>71</v>
      </c>
      <c r="Y128" t="s">
        <v>72</v>
      </c>
      <c r="Z128" s="52">
        <f>SUM(L128:W128)</f>
        <v>2314942.7999999998</v>
      </c>
      <c r="AA128" t="s">
        <v>73</v>
      </c>
      <c r="AB128" s="41">
        <v>467368.75999999995</v>
      </c>
      <c r="AC128" s="45">
        <f>AB128-Z128</f>
        <v>-1847574.0399999998</v>
      </c>
    </row>
    <row r="129" spans="1:29" x14ac:dyDescent="0.25">
      <c r="A129" s="1">
        <v>5500</v>
      </c>
      <c r="C129" s="46" t="s">
        <v>83</v>
      </c>
      <c r="D129" s="47">
        <v>0</v>
      </c>
      <c r="E129" s="48">
        <v>0</v>
      </c>
      <c r="F129" s="49">
        <f t="shared" si="58"/>
        <v>0</v>
      </c>
      <c r="G129" s="50">
        <f t="shared" si="60"/>
        <v>0</v>
      </c>
      <c r="H129" s="50">
        <f t="shared" si="61"/>
        <v>0</v>
      </c>
      <c r="I129" s="51">
        <f t="shared" si="59"/>
        <v>0</v>
      </c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46" t="s">
        <v>75</v>
      </c>
      <c r="Y129" t="s">
        <v>76</v>
      </c>
      <c r="Z129" s="52">
        <f t="shared" ref="Z129:Z136" si="63">SUM(L129:W129)</f>
        <v>0</v>
      </c>
    </row>
    <row r="130" spans="1:29" x14ac:dyDescent="0.25">
      <c r="A130" s="1">
        <v>5600</v>
      </c>
      <c r="C130" s="46" t="s">
        <v>86</v>
      </c>
      <c r="D130" s="47">
        <v>0</v>
      </c>
      <c r="E130" s="48">
        <v>53968.61</v>
      </c>
      <c r="F130" s="49">
        <f t="shared" si="58"/>
        <v>53968.61</v>
      </c>
      <c r="G130" s="50">
        <f t="shared" si="60"/>
        <v>53967.61</v>
      </c>
      <c r="H130" s="50">
        <f t="shared" si="61"/>
        <v>53967.61</v>
      </c>
      <c r="I130" s="51">
        <f t="shared" si="59"/>
        <v>1</v>
      </c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46" t="s">
        <v>78</v>
      </c>
      <c r="Y130" t="s">
        <v>79</v>
      </c>
      <c r="Z130" s="52">
        <f t="shared" si="63"/>
        <v>0</v>
      </c>
    </row>
    <row r="131" spans="1:29" x14ac:dyDescent="0.25">
      <c r="A131" s="1">
        <v>5700</v>
      </c>
      <c r="C131" s="46" t="s">
        <v>89</v>
      </c>
      <c r="D131" s="47">
        <v>0</v>
      </c>
      <c r="E131" s="48">
        <v>0</v>
      </c>
      <c r="F131" s="49">
        <f t="shared" si="58"/>
        <v>0</v>
      </c>
      <c r="G131" s="50">
        <f t="shared" si="60"/>
        <v>0</v>
      </c>
      <c r="H131" s="50">
        <f t="shared" si="61"/>
        <v>0</v>
      </c>
      <c r="I131" s="51">
        <f t="shared" si="59"/>
        <v>0</v>
      </c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46" t="s">
        <v>81</v>
      </c>
      <c r="Y131" t="s">
        <v>82</v>
      </c>
      <c r="Z131" s="52">
        <f t="shared" si="63"/>
        <v>0</v>
      </c>
      <c r="AA131">
        <v>138</v>
      </c>
      <c r="AB131" s="41"/>
      <c r="AC131" s="45">
        <f>Z131-AB131</f>
        <v>0</v>
      </c>
    </row>
    <row r="132" spans="1:29" x14ac:dyDescent="0.25">
      <c r="A132" s="1">
        <v>5800</v>
      </c>
      <c r="C132" s="46" t="s">
        <v>92</v>
      </c>
      <c r="D132" s="47">
        <v>0</v>
      </c>
      <c r="E132" s="48">
        <v>0</v>
      </c>
      <c r="F132" s="49">
        <f t="shared" si="58"/>
        <v>0</v>
      </c>
      <c r="G132" s="50">
        <f t="shared" si="60"/>
        <v>0</v>
      </c>
      <c r="H132" s="50">
        <f t="shared" si="61"/>
        <v>0</v>
      </c>
      <c r="I132" s="51">
        <f t="shared" si="59"/>
        <v>0</v>
      </c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46" t="s">
        <v>84</v>
      </c>
      <c r="Y132" t="s">
        <v>85</v>
      </c>
      <c r="Z132" s="52">
        <f t="shared" si="63"/>
        <v>0</v>
      </c>
    </row>
    <row r="133" spans="1:29" x14ac:dyDescent="0.25">
      <c r="A133" s="1">
        <v>5900</v>
      </c>
      <c r="C133" s="46" t="s">
        <v>95</v>
      </c>
      <c r="D133" s="47">
        <v>0</v>
      </c>
      <c r="E133" s="48">
        <v>0</v>
      </c>
      <c r="F133" s="49">
        <f t="shared" si="58"/>
        <v>0</v>
      </c>
      <c r="G133" s="50">
        <f t="shared" si="60"/>
        <v>0</v>
      </c>
      <c r="H133" s="50">
        <f t="shared" si="61"/>
        <v>0</v>
      </c>
      <c r="I133" s="51">
        <f t="shared" si="59"/>
        <v>0</v>
      </c>
      <c r="L133" s="64"/>
      <c r="M133" s="64">
        <v>24150.01</v>
      </c>
      <c r="N133" s="64">
        <f>[1]Activo!F170</f>
        <v>29817.599999999999</v>
      </c>
      <c r="O133" s="64"/>
      <c r="P133" s="64"/>
      <c r="Q133" s="64"/>
      <c r="R133" s="64"/>
      <c r="S133" s="64"/>
      <c r="T133" s="64"/>
      <c r="U133" s="64"/>
      <c r="V133" s="64"/>
      <c r="W133" s="64"/>
      <c r="X133" s="46" t="s">
        <v>87</v>
      </c>
      <c r="Y133" t="s">
        <v>88</v>
      </c>
      <c r="Z133" s="52">
        <f t="shared" si="63"/>
        <v>53967.61</v>
      </c>
      <c r="AA133">
        <v>135</v>
      </c>
      <c r="AB133" s="41">
        <v>29817.599999999999</v>
      </c>
      <c r="AC133" s="45">
        <f>AB133-Z133</f>
        <v>-24150.010000000002</v>
      </c>
    </row>
    <row r="134" spans="1:29" x14ac:dyDescent="0.25">
      <c r="C134" s="73" t="s">
        <v>98</v>
      </c>
      <c r="D134" s="32">
        <f>SUM(D135:D137)</f>
        <v>0</v>
      </c>
      <c r="E134" s="42">
        <f t="shared" ref="E134:I134" si="64">SUM(E135:E137)</f>
        <v>0</v>
      </c>
      <c r="F134" s="34">
        <f t="shared" si="64"/>
        <v>0</v>
      </c>
      <c r="G134" s="32">
        <f>SUM(G135:G137)</f>
        <v>0</v>
      </c>
      <c r="H134" s="32">
        <f t="shared" si="64"/>
        <v>0</v>
      </c>
      <c r="I134" s="43">
        <f t="shared" si="64"/>
        <v>0</v>
      </c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46" t="s">
        <v>90</v>
      </c>
      <c r="Y134" t="s">
        <v>91</v>
      </c>
      <c r="Z134" s="52">
        <f t="shared" si="63"/>
        <v>0</v>
      </c>
    </row>
    <row r="135" spans="1:29" x14ac:dyDescent="0.25">
      <c r="C135" s="46" t="s">
        <v>99</v>
      </c>
      <c r="D135" s="47">
        <v>0</v>
      </c>
      <c r="E135" s="79">
        <v>0</v>
      </c>
      <c r="F135" s="49">
        <f t="shared" ref="F135:F137" si="65">D135+E135</f>
        <v>0</v>
      </c>
      <c r="G135" s="50">
        <v>0</v>
      </c>
      <c r="H135" s="50">
        <f t="shared" ref="H135:H137" si="66">G135</f>
        <v>0</v>
      </c>
      <c r="I135" s="51">
        <f t="shared" ref="I135:I137" si="67">F135-G135</f>
        <v>0</v>
      </c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46" t="s">
        <v>93</v>
      </c>
      <c r="Y135" t="s">
        <v>94</v>
      </c>
      <c r="Z135" s="52">
        <f t="shared" si="63"/>
        <v>0</v>
      </c>
    </row>
    <row r="136" spans="1:29" ht="15.75" thickBot="1" x14ac:dyDescent="0.3">
      <c r="C136" s="46" t="s">
        <v>100</v>
      </c>
      <c r="D136" s="47">
        <v>0</v>
      </c>
      <c r="E136" s="79">
        <v>0</v>
      </c>
      <c r="F136" s="49">
        <f t="shared" si="65"/>
        <v>0</v>
      </c>
      <c r="G136" s="50">
        <v>0</v>
      </c>
      <c r="H136" s="50">
        <f t="shared" si="66"/>
        <v>0</v>
      </c>
      <c r="I136" s="51">
        <f t="shared" si="67"/>
        <v>0</v>
      </c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46" t="s">
        <v>96</v>
      </c>
      <c r="Y136" t="s">
        <v>97</v>
      </c>
      <c r="Z136" s="52">
        <f t="shared" si="63"/>
        <v>0</v>
      </c>
    </row>
    <row r="137" spans="1:29" x14ac:dyDescent="0.25">
      <c r="C137" s="46" t="s">
        <v>101</v>
      </c>
      <c r="D137" s="47">
        <v>0</v>
      </c>
      <c r="E137" s="79">
        <v>0</v>
      </c>
      <c r="F137" s="49">
        <f t="shared" si="65"/>
        <v>0</v>
      </c>
      <c r="G137" s="50">
        <v>0</v>
      </c>
      <c r="H137" s="50">
        <f t="shared" si="66"/>
        <v>0</v>
      </c>
      <c r="I137" s="51">
        <f t="shared" si="67"/>
        <v>0</v>
      </c>
      <c r="AC137" s="45">
        <f>SUM(AC128:AC136)</f>
        <v>-1871724.0499999998</v>
      </c>
    </row>
    <row r="138" spans="1:29" ht="24" x14ac:dyDescent="0.25">
      <c r="C138" s="76" t="s">
        <v>102</v>
      </c>
      <c r="D138" s="32">
        <f>SUM(D139:D146)</f>
        <v>0</v>
      </c>
      <c r="E138" s="42">
        <f t="shared" ref="E138:I138" si="68">SUM(E139:E146)</f>
        <v>0</v>
      </c>
      <c r="F138" s="34">
        <f t="shared" si="68"/>
        <v>0</v>
      </c>
      <c r="G138" s="32">
        <f>SUM(G139:G146)</f>
        <v>0</v>
      </c>
      <c r="H138" s="32">
        <f t="shared" si="68"/>
        <v>0</v>
      </c>
      <c r="I138" s="43">
        <f t="shared" si="68"/>
        <v>0</v>
      </c>
      <c r="K138" s="39">
        <f>K127+K59</f>
        <v>16382059.739999995</v>
      </c>
    </row>
    <row r="139" spans="1:29" x14ac:dyDescent="0.25">
      <c r="C139" s="46" t="s">
        <v>103</v>
      </c>
      <c r="D139" s="47">
        <v>0</v>
      </c>
      <c r="E139" s="79">
        <v>0</v>
      </c>
      <c r="F139" s="49">
        <f t="shared" ref="F139:F146" si="69">D139+E139</f>
        <v>0</v>
      </c>
      <c r="G139" s="50">
        <v>0</v>
      </c>
      <c r="H139" s="50">
        <f t="shared" ref="H139:H146" si="70">G139</f>
        <v>0</v>
      </c>
      <c r="I139" s="51">
        <f t="shared" ref="I139:I146" si="71">F139-G139</f>
        <v>0</v>
      </c>
      <c r="K139" s="45">
        <f>[1]Activo!F3</f>
        <v>16382059.74</v>
      </c>
    </row>
    <row r="140" spans="1:29" x14ac:dyDescent="0.25">
      <c r="C140" s="46" t="s">
        <v>104</v>
      </c>
      <c r="D140" s="47">
        <v>0</v>
      </c>
      <c r="E140" s="79">
        <v>0</v>
      </c>
      <c r="F140" s="49">
        <f t="shared" si="69"/>
        <v>0</v>
      </c>
      <c r="G140" s="50">
        <v>0</v>
      </c>
      <c r="H140" s="50">
        <f t="shared" si="70"/>
        <v>0</v>
      </c>
      <c r="I140" s="51">
        <f t="shared" si="71"/>
        <v>0</v>
      </c>
      <c r="K140" s="45">
        <f>K138-K139</f>
        <v>0</v>
      </c>
      <c r="L140" t="s">
        <v>134</v>
      </c>
    </row>
    <row r="141" spans="1:29" x14ac:dyDescent="0.25">
      <c r="C141" s="46" t="s">
        <v>105</v>
      </c>
      <c r="D141" s="47">
        <v>0</v>
      </c>
      <c r="E141" s="79">
        <v>0</v>
      </c>
      <c r="F141" s="49">
        <f t="shared" si="69"/>
        <v>0</v>
      </c>
      <c r="G141" s="50">
        <v>0</v>
      </c>
      <c r="H141" s="50">
        <f t="shared" si="70"/>
        <v>0</v>
      </c>
      <c r="I141" s="51">
        <f t="shared" si="71"/>
        <v>0</v>
      </c>
    </row>
    <row r="142" spans="1:29" x14ac:dyDescent="0.25">
      <c r="C142" s="46" t="s">
        <v>106</v>
      </c>
      <c r="D142" s="47">
        <v>0</v>
      </c>
      <c r="E142" s="79">
        <v>0</v>
      </c>
      <c r="F142" s="49">
        <f t="shared" si="69"/>
        <v>0</v>
      </c>
      <c r="G142" s="50">
        <v>0</v>
      </c>
      <c r="H142" s="50">
        <f t="shared" si="70"/>
        <v>0</v>
      </c>
      <c r="I142" s="51">
        <f t="shared" si="71"/>
        <v>0</v>
      </c>
    </row>
    <row r="143" spans="1:29" x14ac:dyDescent="0.25">
      <c r="C143" s="46" t="s">
        <v>107</v>
      </c>
      <c r="D143" s="47">
        <v>0</v>
      </c>
      <c r="E143" s="79">
        <v>0</v>
      </c>
      <c r="F143" s="49">
        <f t="shared" si="69"/>
        <v>0</v>
      </c>
      <c r="G143" s="50">
        <v>0</v>
      </c>
      <c r="H143" s="50">
        <f t="shared" si="70"/>
        <v>0</v>
      </c>
      <c r="I143" s="51">
        <f t="shared" si="71"/>
        <v>0</v>
      </c>
    </row>
    <row r="144" spans="1:29" x14ac:dyDescent="0.25">
      <c r="C144" s="46" t="s">
        <v>108</v>
      </c>
      <c r="D144" s="47">
        <v>0</v>
      </c>
      <c r="E144" s="79">
        <v>0</v>
      </c>
      <c r="F144" s="49">
        <f t="shared" si="69"/>
        <v>0</v>
      </c>
      <c r="G144" s="50">
        <v>0</v>
      </c>
      <c r="H144" s="50">
        <f t="shared" si="70"/>
        <v>0</v>
      </c>
      <c r="I144" s="51">
        <f t="shared" si="71"/>
        <v>0</v>
      </c>
    </row>
    <row r="145" spans="3:14" x14ac:dyDescent="0.25">
      <c r="C145" s="46" t="s">
        <v>109</v>
      </c>
      <c r="D145" s="47">
        <v>0</v>
      </c>
      <c r="E145" s="79">
        <v>0</v>
      </c>
      <c r="F145" s="49">
        <f t="shared" si="69"/>
        <v>0</v>
      </c>
      <c r="G145" s="50">
        <v>0</v>
      </c>
      <c r="H145" s="50">
        <f t="shared" si="70"/>
        <v>0</v>
      </c>
      <c r="I145" s="51">
        <f t="shared" si="71"/>
        <v>0</v>
      </c>
    </row>
    <row r="146" spans="3:14" ht="24" x14ac:dyDescent="0.25">
      <c r="C146" s="46" t="s">
        <v>110</v>
      </c>
      <c r="D146" s="47">
        <v>0</v>
      </c>
      <c r="E146" s="79">
        <v>0</v>
      </c>
      <c r="F146" s="49">
        <f t="shared" si="69"/>
        <v>0</v>
      </c>
      <c r="G146" s="50">
        <v>0</v>
      </c>
      <c r="H146" s="50">
        <f t="shared" si="70"/>
        <v>0</v>
      </c>
      <c r="I146" s="51">
        <f t="shared" si="71"/>
        <v>0</v>
      </c>
    </row>
    <row r="147" spans="3:14" x14ac:dyDescent="0.25">
      <c r="C147" s="73" t="s">
        <v>111</v>
      </c>
      <c r="D147" s="32">
        <f>SUM(D148:D150)</f>
        <v>0</v>
      </c>
      <c r="E147" s="42">
        <f t="shared" ref="E147:I147" si="72">SUM(E148:E150)</f>
        <v>0</v>
      </c>
      <c r="F147" s="34">
        <f t="shared" si="72"/>
        <v>0</v>
      </c>
      <c r="G147" s="32">
        <f>SUM(G148:G150)</f>
        <v>0</v>
      </c>
      <c r="H147" s="32">
        <f t="shared" si="72"/>
        <v>0</v>
      </c>
      <c r="I147" s="43">
        <f t="shared" si="72"/>
        <v>0</v>
      </c>
    </row>
    <row r="148" spans="3:14" x14ac:dyDescent="0.25">
      <c r="C148" s="66" t="s">
        <v>112</v>
      </c>
      <c r="D148" s="47">
        <v>0</v>
      </c>
      <c r="E148" s="79">
        <v>0</v>
      </c>
      <c r="F148" s="49">
        <f t="shared" ref="F148:F150" si="73">D148+E148</f>
        <v>0</v>
      </c>
      <c r="G148" s="50">
        <v>0</v>
      </c>
      <c r="H148" s="50">
        <f t="shared" ref="H148:H150" si="74">G148</f>
        <v>0</v>
      </c>
      <c r="I148" s="51">
        <f t="shared" ref="I148:I150" si="75">F148-G148</f>
        <v>0</v>
      </c>
    </row>
    <row r="149" spans="3:14" x14ac:dyDescent="0.25">
      <c r="C149" s="66" t="s">
        <v>113</v>
      </c>
      <c r="D149" s="47">
        <v>0</v>
      </c>
      <c r="E149" s="79">
        <v>0</v>
      </c>
      <c r="F149" s="49">
        <f t="shared" si="73"/>
        <v>0</v>
      </c>
      <c r="G149" s="50">
        <v>0</v>
      </c>
      <c r="H149" s="50">
        <f t="shared" si="74"/>
        <v>0</v>
      </c>
      <c r="I149" s="51">
        <f t="shared" si="75"/>
        <v>0</v>
      </c>
    </row>
    <row r="150" spans="3:14" x14ac:dyDescent="0.25">
      <c r="C150" s="66" t="s">
        <v>114</v>
      </c>
      <c r="D150" s="47">
        <v>0</v>
      </c>
      <c r="E150" s="79">
        <v>0</v>
      </c>
      <c r="F150" s="49">
        <f t="shared" si="73"/>
        <v>0</v>
      </c>
      <c r="G150" s="50">
        <v>0</v>
      </c>
      <c r="H150" s="50">
        <f t="shared" si="74"/>
        <v>0</v>
      </c>
      <c r="I150" s="51">
        <f t="shared" si="75"/>
        <v>0</v>
      </c>
    </row>
    <row r="151" spans="3:14" x14ac:dyDescent="0.25">
      <c r="C151" s="73" t="s">
        <v>115</v>
      </c>
      <c r="D151" s="32">
        <f>SUM(D152:D158)</f>
        <v>0</v>
      </c>
      <c r="E151" s="42">
        <f t="shared" ref="E151:I151" si="76">SUM(E152:E158)</f>
        <v>0</v>
      </c>
      <c r="F151" s="34">
        <f t="shared" si="76"/>
        <v>0</v>
      </c>
      <c r="G151" s="32">
        <f>SUM(G152:G158)</f>
        <v>0</v>
      </c>
      <c r="H151" s="32">
        <f t="shared" si="76"/>
        <v>0</v>
      </c>
      <c r="I151" s="43">
        <f t="shared" si="76"/>
        <v>0</v>
      </c>
    </row>
    <row r="152" spans="3:14" x14ac:dyDescent="0.25">
      <c r="C152" s="46" t="s">
        <v>116</v>
      </c>
      <c r="D152" s="47">
        <v>0</v>
      </c>
      <c r="E152" s="79">
        <v>0</v>
      </c>
      <c r="F152" s="49">
        <f t="shared" ref="F152:F158" si="77">D152+E152</f>
        <v>0</v>
      </c>
      <c r="G152" s="50">
        <v>0</v>
      </c>
      <c r="H152" s="50">
        <f t="shared" ref="H152:H158" si="78">G152</f>
        <v>0</v>
      </c>
      <c r="I152" s="51">
        <f t="shared" ref="I152:I158" si="79">F152-G152</f>
        <v>0</v>
      </c>
    </row>
    <row r="153" spans="3:14" x14ac:dyDescent="0.25">
      <c r="C153" s="46" t="s">
        <v>117</v>
      </c>
      <c r="D153" s="47">
        <v>0</v>
      </c>
      <c r="E153" s="79">
        <v>0</v>
      </c>
      <c r="F153" s="49">
        <f t="shared" si="77"/>
        <v>0</v>
      </c>
      <c r="G153" s="50">
        <v>0</v>
      </c>
      <c r="H153" s="50">
        <f t="shared" si="78"/>
        <v>0</v>
      </c>
      <c r="I153" s="51">
        <f t="shared" si="79"/>
        <v>0</v>
      </c>
    </row>
    <row r="154" spans="3:14" x14ac:dyDescent="0.25">
      <c r="C154" s="46" t="s">
        <v>118</v>
      </c>
      <c r="D154" s="47">
        <v>0</v>
      </c>
      <c r="E154" s="79">
        <v>0</v>
      </c>
      <c r="F154" s="49">
        <f t="shared" si="77"/>
        <v>0</v>
      </c>
      <c r="G154" s="50">
        <v>0</v>
      </c>
      <c r="H154" s="50">
        <f t="shared" si="78"/>
        <v>0</v>
      </c>
      <c r="I154" s="51">
        <f t="shared" si="79"/>
        <v>0</v>
      </c>
    </row>
    <row r="155" spans="3:14" x14ac:dyDescent="0.25">
      <c r="C155" s="46" t="s">
        <v>119</v>
      </c>
      <c r="D155" s="47">
        <v>0</v>
      </c>
      <c r="E155" s="79">
        <v>0</v>
      </c>
      <c r="F155" s="49">
        <f t="shared" si="77"/>
        <v>0</v>
      </c>
      <c r="G155" s="50">
        <v>0</v>
      </c>
      <c r="H155" s="50">
        <f t="shared" si="78"/>
        <v>0</v>
      </c>
      <c r="I155" s="51">
        <f t="shared" si="79"/>
        <v>0</v>
      </c>
    </row>
    <row r="156" spans="3:14" x14ac:dyDescent="0.25">
      <c r="C156" s="46" t="s">
        <v>120</v>
      </c>
      <c r="D156" s="47">
        <v>0</v>
      </c>
      <c r="E156" s="79">
        <v>0</v>
      </c>
      <c r="F156" s="49">
        <f t="shared" si="77"/>
        <v>0</v>
      </c>
      <c r="G156" s="50">
        <v>0</v>
      </c>
      <c r="H156" s="50">
        <f t="shared" si="78"/>
        <v>0</v>
      </c>
      <c r="I156" s="51">
        <f t="shared" si="79"/>
        <v>0</v>
      </c>
      <c r="M156" s="52"/>
    </row>
    <row r="157" spans="3:14" x14ac:dyDescent="0.25">
      <c r="C157" s="46" t="s">
        <v>121</v>
      </c>
      <c r="D157" s="47">
        <v>0</v>
      </c>
      <c r="E157" s="79">
        <v>0</v>
      </c>
      <c r="F157" s="49">
        <f t="shared" si="77"/>
        <v>0</v>
      </c>
      <c r="G157" s="50">
        <v>0</v>
      </c>
      <c r="H157" s="50">
        <f t="shared" si="78"/>
        <v>0</v>
      </c>
      <c r="I157" s="51">
        <f t="shared" si="79"/>
        <v>0</v>
      </c>
    </row>
    <row r="158" spans="3:14" ht="15.75" thickBot="1" x14ac:dyDescent="0.3">
      <c r="C158" s="46" t="s">
        <v>122</v>
      </c>
      <c r="D158" s="47">
        <v>0</v>
      </c>
      <c r="E158" s="79">
        <v>0</v>
      </c>
      <c r="F158" s="49">
        <f t="shared" si="77"/>
        <v>0</v>
      </c>
      <c r="G158" s="50">
        <v>0</v>
      </c>
      <c r="H158" s="50">
        <f t="shared" si="78"/>
        <v>0</v>
      </c>
      <c r="I158" s="51">
        <f t="shared" si="79"/>
        <v>0</v>
      </c>
    </row>
    <row r="159" spans="3:14" x14ac:dyDescent="0.25">
      <c r="C159" s="80"/>
      <c r="D159" s="81"/>
      <c r="E159" s="82"/>
      <c r="F159" s="49"/>
      <c r="G159" s="81"/>
      <c r="H159" s="81"/>
      <c r="I159" s="83"/>
      <c r="K159" s="84" t="s">
        <v>135</v>
      </c>
      <c r="L159" s="85" t="s">
        <v>136</v>
      </c>
      <c r="M159" s="86" t="s">
        <v>137</v>
      </c>
    </row>
    <row r="160" spans="3:14" ht="15.75" thickBot="1" x14ac:dyDescent="0.3">
      <c r="C160" s="87" t="s">
        <v>138</v>
      </c>
      <c r="D160" s="88">
        <f>SUM(D10,D85)</f>
        <v>713733897.99000001</v>
      </c>
      <c r="E160" s="89">
        <f t="shared" ref="E160" si="80">SUM(E10,E85)</f>
        <v>191794949.10000002</v>
      </c>
      <c r="F160" s="90">
        <f>SUM(F10,F85)</f>
        <v>905528847.09000015</v>
      </c>
      <c r="G160" s="88">
        <f>SUM(G10,G85)</f>
        <v>880324918.9799999</v>
      </c>
      <c r="H160" s="88">
        <f t="shared" ref="H160" si="81">SUM(H10,H85)</f>
        <v>870504720.27999997</v>
      </c>
      <c r="I160" s="91">
        <f>F160-G160</f>
        <v>25203928.110000253</v>
      </c>
      <c r="J160" s="39"/>
      <c r="K160" s="92">
        <f>'[1]EDO RDOS'!O91</f>
        <v>873752952.57000005</v>
      </c>
      <c r="L160" s="39">
        <f>K160-G160</f>
        <v>-6571966.4099998474</v>
      </c>
      <c r="M160" s="93">
        <f>+G50+G124</f>
        <v>16382059.740000002</v>
      </c>
      <c r="N160" s="52"/>
    </row>
    <row r="161" spans="3:16" x14ac:dyDescent="0.25">
      <c r="C161" s="94"/>
      <c r="D161" s="95"/>
      <c r="E161" s="95"/>
      <c r="F161" s="95"/>
      <c r="G161" s="96"/>
      <c r="H161" s="96"/>
      <c r="I161" s="97"/>
      <c r="J161" s="98">
        <f>G160/F160</f>
        <v>0.97216662043291568</v>
      </c>
      <c r="K161" s="99" t="s">
        <v>139</v>
      </c>
      <c r="L161" s="100">
        <f>L160+M160</f>
        <v>9810093.3300001547</v>
      </c>
      <c r="M161" s="101"/>
      <c r="N161" s="52">
        <f>O161-L161</f>
        <v>4200547.5599998459</v>
      </c>
      <c r="O161" s="39">
        <f>'[1]EDO RDOS'!O87</f>
        <v>14010640.890000001</v>
      </c>
    </row>
    <row r="162" spans="3:16" ht="15.75" thickBot="1" x14ac:dyDescent="0.3">
      <c r="D162" s="95"/>
      <c r="E162" s="95"/>
      <c r="F162" s="95"/>
      <c r="G162" s="97"/>
      <c r="H162" s="97"/>
      <c r="I162" s="97"/>
      <c r="K162" s="102" t="s">
        <v>140</v>
      </c>
      <c r="L162" s="103">
        <f>'[1]EDO RDOS'!J87</f>
        <v>1066389.5</v>
      </c>
      <c r="M162" s="104"/>
      <c r="N162" s="39"/>
      <c r="O162" s="39"/>
    </row>
    <row r="163" spans="3:16" x14ac:dyDescent="0.25">
      <c r="C163" s="105"/>
      <c r="D163" s="105"/>
      <c r="E163" s="106"/>
      <c r="F163" s="107"/>
      <c r="G163" s="108"/>
      <c r="H163" s="107"/>
      <c r="I163" s="107"/>
      <c r="K163" s="39">
        <f>+K160-L160</f>
        <v>880324918.9799999</v>
      </c>
    </row>
    <row r="164" spans="3:16" s="112" customFormat="1" x14ac:dyDescent="0.25">
      <c r="C164" s="109" t="s">
        <v>141</v>
      </c>
      <c r="D164" s="109"/>
      <c r="E164" s="110"/>
      <c r="F164" s="111" t="s">
        <v>142</v>
      </c>
      <c r="G164" s="111"/>
      <c r="H164" s="111"/>
      <c r="I164" s="111"/>
    </row>
    <row r="165" spans="3:16" s="118" customFormat="1" ht="12" x14ac:dyDescent="0.2">
      <c r="C165" s="113" t="str">
        <f>'[1]Hoja datos'!A11</f>
        <v>MTRA. PERLA NATALYE CAMPOS GARCIA</v>
      </c>
      <c r="D165" s="113"/>
      <c r="E165" s="114"/>
      <c r="F165" s="115" t="str">
        <f>'[1]Hoja datos'!B11</f>
        <v xml:space="preserve">MTRO. GABRIEL EGUIARTE FRUNS </v>
      </c>
      <c r="G165" s="116"/>
      <c r="H165" s="116"/>
      <c r="I165" s="117"/>
      <c r="K165" s="119"/>
      <c r="M165" s="120"/>
    </row>
    <row r="166" spans="3:16" s="118" customFormat="1" ht="12" x14ac:dyDescent="0.2">
      <c r="C166" s="113" t="str">
        <f>'[1]Hoja datos'!A12</f>
        <v>DIRECTORA ADMINISTRATIVA</v>
      </c>
      <c r="D166" s="113"/>
      <c r="E166" s="113"/>
      <c r="F166" s="115" t="str">
        <f>'[1]Hoja datos'!B12</f>
        <v>DIRECTOR GENERAL</v>
      </c>
      <c r="G166" s="116"/>
      <c r="H166" s="116"/>
      <c r="I166" s="117"/>
    </row>
    <row r="167" spans="3:16" s="125" customFormat="1" x14ac:dyDescent="0.25">
      <c r="C167" s="121"/>
      <c r="D167" s="121"/>
      <c r="E167" s="121"/>
      <c r="F167" s="122"/>
      <c r="G167" s="122"/>
      <c r="H167" s="122"/>
      <c r="I167" s="123"/>
      <c r="J167" s="124">
        <f>G62</f>
        <v>4200547.5599999996</v>
      </c>
      <c r="K167" s="124">
        <f>J169+J167</f>
        <v>1.6856938600540161E-7</v>
      </c>
    </row>
    <row r="168" spans="3:16" s="125" customFormat="1" ht="15.75" thickBot="1" x14ac:dyDescent="0.3">
      <c r="C168" s="121"/>
      <c r="D168" s="121"/>
      <c r="E168" s="121"/>
      <c r="F168" s="122"/>
      <c r="G168" s="122"/>
      <c r="H168" s="122"/>
      <c r="I168" s="123"/>
    </row>
    <row r="169" spans="3:16" s="125" customFormat="1" ht="28.5" customHeight="1" x14ac:dyDescent="0.25">
      <c r="C169" s="121" t="s">
        <v>143</v>
      </c>
      <c r="D169" s="121"/>
      <c r="E169" s="121"/>
      <c r="F169" s="121"/>
      <c r="H169" s="121"/>
      <c r="I169" s="126"/>
      <c r="J169" s="127">
        <f>'[1]EDO RDOS'!O91-'[1]EDO RDOS'!O87-(G160)+G124+G50</f>
        <v>-4200547.559999831</v>
      </c>
      <c r="K169" s="128" t="s">
        <v>144</v>
      </c>
      <c r="L169" s="128" t="s">
        <v>145</v>
      </c>
      <c r="M169" s="128"/>
      <c r="N169" s="128"/>
      <c r="O169" s="128"/>
      <c r="P169" s="129"/>
    </row>
    <row r="170" spans="3:16" s="135" customFormat="1" ht="12" x14ac:dyDescent="0.2">
      <c r="C170" s="113" t="str">
        <f>'[1]Hoja datos'!A13</f>
        <v>C.P. y L.A.F. OSCAR KUCHLE WEBER</v>
      </c>
      <c r="D170" s="130"/>
      <c r="E170" s="131"/>
      <c r="F170" s="130"/>
      <c r="G170" s="130"/>
      <c r="H170" s="130"/>
      <c r="I170" s="130"/>
      <c r="J170" s="132"/>
      <c r="K170" s="133"/>
      <c r="L170" s="133" t="s">
        <v>146</v>
      </c>
      <c r="M170" s="133"/>
      <c r="N170" s="133" t="s">
        <v>147</v>
      </c>
      <c r="O170" s="133"/>
      <c r="P170" s="134"/>
    </row>
    <row r="171" spans="3:16" s="135" customFormat="1" ht="12" x14ac:dyDescent="0.2">
      <c r="C171" s="113" t="str">
        <f>'[1]Hoja datos'!A14</f>
        <v>JEFE DEL DEPARTAMENTO DE CONTABILIDAD Y FINANZAS</v>
      </c>
      <c r="D171" s="130"/>
      <c r="E171" s="136"/>
      <c r="F171" s="136"/>
      <c r="G171" s="137"/>
      <c r="H171" s="136"/>
      <c r="I171" s="130"/>
      <c r="J171" s="132"/>
      <c r="K171" s="133"/>
      <c r="L171" s="133" t="s">
        <v>148</v>
      </c>
      <c r="M171" s="133"/>
      <c r="N171" s="133" t="s">
        <v>149</v>
      </c>
      <c r="O171" s="133"/>
      <c r="P171" s="134"/>
    </row>
    <row r="172" spans="3:16" ht="15.75" thickBot="1" x14ac:dyDescent="0.3">
      <c r="C172" s="138"/>
      <c r="D172" s="138"/>
      <c r="E172" s="139"/>
      <c r="F172" s="140"/>
      <c r="G172" s="139"/>
      <c r="H172" s="140"/>
      <c r="I172" s="105"/>
      <c r="J172" s="141"/>
      <c r="K172" s="142"/>
      <c r="L172" s="143" t="s">
        <v>150</v>
      </c>
      <c r="M172" s="142"/>
      <c r="N172" s="142"/>
      <c r="O172" s="142"/>
      <c r="P172" s="144"/>
    </row>
    <row r="173" spans="3:16" x14ac:dyDescent="0.25">
      <c r="C173" s="105"/>
      <c r="D173" s="105"/>
      <c r="E173" s="145"/>
      <c r="F173" s="145"/>
      <c r="G173" s="146"/>
      <c r="H173" s="145"/>
      <c r="I173" s="105"/>
      <c r="K173" s="147">
        <f>'[1]edo rdos Ago-Ago'!D94</f>
        <v>873752952.57000005</v>
      </c>
      <c r="L173" t="s">
        <v>151</v>
      </c>
    </row>
    <row r="174" spans="3:16" x14ac:dyDescent="0.25">
      <c r="C174" s="105"/>
      <c r="D174" s="105"/>
      <c r="E174" s="145"/>
      <c r="F174" s="145"/>
      <c r="G174" s="148"/>
      <c r="H174" s="145"/>
      <c r="I174" s="105"/>
      <c r="K174" s="41">
        <f>'[1]edo rdos Ago-Ago'!D91</f>
        <v>14010640.890000001</v>
      </c>
      <c r="L174" t="s">
        <v>152</v>
      </c>
    </row>
    <row r="175" spans="3:16" x14ac:dyDescent="0.25">
      <c r="C175" s="105"/>
      <c r="D175" s="105"/>
      <c r="E175" s="146"/>
      <c r="F175" s="145"/>
      <c r="G175" s="149"/>
      <c r="H175" s="145"/>
      <c r="I175" s="105"/>
      <c r="J175" s="45"/>
      <c r="K175" s="41">
        <f>[1]Activo!F3</f>
        <v>16382059.74</v>
      </c>
      <c r="L175" t="s">
        <v>153</v>
      </c>
    </row>
    <row r="176" spans="3:16" x14ac:dyDescent="0.25">
      <c r="C176" s="105"/>
      <c r="D176" s="105"/>
      <c r="E176" s="105"/>
      <c r="F176" s="105"/>
      <c r="G176" s="106"/>
      <c r="H176" s="105"/>
      <c r="I176" s="105"/>
      <c r="J176" s="105"/>
      <c r="K176" s="45">
        <f>K173-K174+K175</f>
        <v>876124371.42000008</v>
      </c>
      <c r="L176" s="105"/>
    </row>
    <row r="177" spans="3:11" x14ac:dyDescent="0.25">
      <c r="C177" s="105"/>
      <c r="D177" s="105"/>
      <c r="E177" s="105"/>
      <c r="F177" s="105"/>
      <c r="G177" s="105"/>
      <c r="H177" s="105"/>
      <c r="I177" s="105"/>
      <c r="K177" s="41">
        <f>H160</f>
        <v>870504720.27999997</v>
      </c>
    </row>
    <row r="178" spans="3:11" x14ac:dyDescent="0.25">
      <c r="C178" s="105"/>
      <c r="D178" s="105"/>
      <c r="E178" s="105"/>
      <c r="F178" s="105"/>
      <c r="G178" s="105"/>
      <c r="H178" s="105"/>
      <c r="I178" s="105"/>
      <c r="K178" s="45">
        <f>K176-K177</f>
        <v>5619651.1400001049</v>
      </c>
    </row>
    <row r="179" spans="3:11" x14ac:dyDescent="0.25">
      <c r="C179" s="105"/>
      <c r="D179" s="105"/>
      <c r="E179" s="105"/>
      <c r="F179" s="105"/>
      <c r="G179" s="105"/>
      <c r="H179" s="105"/>
      <c r="I179" s="105"/>
    </row>
    <row r="180" spans="3:11" x14ac:dyDescent="0.25">
      <c r="C180" s="105"/>
      <c r="D180" s="105"/>
      <c r="E180" s="105"/>
      <c r="F180" s="105"/>
      <c r="G180" s="105"/>
      <c r="H180" s="105"/>
      <c r="I180" s="105"/>
      <c r="K180" s="41">
        <f>'[1]edo rdos Ago-Ago'!D94-'[1]edo rdos Ago-Ago'!D92+[1]Activo!F3</f>
        <v>876124371.42000008</v>
      </c>
    </row>
    <row r="181" spans="3:11" x14ac:dyDescent="0.25">
      <c r="C181" s="105"/>
      <c r="D181" s="105"/>
      <c r="E181" s="105"/>
      <c r="F181" s="105"/>
      <c r="G181" s="105"/>
      <c r="H181" s="105"/>
      <c r="I181" s="105"/>
      <c r="K181" s="45">
        <f>G160</f>
        <v>880324918.9799999</v>
      </c>
    </row>
    <row r="182" spans="3:11" x14ac:dyDescent="0.25">
      <c r="C182" s="105"/>
      <c r="D182" s="105"/>
      <c r="E182" s="105"/>
      <c r="F182" s="105"/>
      <c r="G182" s="105"/>
      <c r="H182" s="105"/>
      <c r="I182" s="105"/>
      <c r="K182" s="45">
        <f>K180-K181</f>
        <v>-4200547.5599998236</v>
      </c>
    </row>
    <row r="183" spans="3:11" x14ac:dyDescent="0.25">
      <c r="C183" s="105"/>
      <c r="D183" s="105"/>
      <c r="E183" s="105"/>
      <c r="F183" s="105"/>
      <c r="G183" s="105"/>
      <c r="H183" s="105"/>
      <c r="I183" s="105"/>
    </row>
    <row r="184" spans="3:11" x14ac:dyDescent="0.25">
      <c r="C184" s="105"/>
      <c r="D184" s="105"/>
      <c r="E184" s="105"/>
      <c r="F184" s="105"/>
      <c r="G184" s="105"/>
      <c r="H184" s="105"/>
      <c r="I184" s="105"/>
    </row>
    <row r="185" spans="3:11" x14ac:dyDescent="0.25">
      <c r="C185" s="105"/>
      <c r="D185" s="105"/>
      <c r="E185" s="105"/>
      <c r="F185" s="105"/>
      <c r="G185" s="105"/>
      <c r="H185" s="105"/>
      <c r="I185" s="105"/>
    </row>
    <row r="186" spans="3:11" x14ac:dyDescent="0.25">
      <c r="C186" s="105"/>
      <c r="D186" s="105"/>
      <c r="E186" s="105"/>
      <c r="F186" s="105"/>
      <c r="G186" s="105"/>
      <c r="H186" s="105"/>
      <c r="I186" s="105"/>
    </row>
    <row r="187" spans="3:11" x14ac:dyDescent="0.25">
      <c r="C187" s="105"/>
      <c r="D187" s="105"/>
      <c r="E187" s="105"/>
      <c r="F187" s="105"/>
      <c r="G187" s="105"/>
      <c r="H187" s="105"/>
      <c r="I187" s="105"/>
    </row>
    <row r="188" spans="3:11" x14ac:dyDescent="0.25">
      <c r="C188" s="105"/>
      <c r="D188" s="105"/>
      <c r="E188" s="105"/>
      <c r="F188" s="105"/>
      <c r="G188" s="105"/>
      <c r="H188" s="105"/>
      <c r="I188" s="105"/>
    </row>
    <row r="189" spans="3:11" x14ac:dyDescent="0.25">
      <c r="C189" s="105"/>
      <c r="D189" s="105"/>
      <c r="E189" s="105"/>
      <c r="F189" s="105"/>
      <c r="G189" s="105"/>
      <c r="H189" s="105"/>
      <c r="I189" s="105"/>
    </row>
    <row r="190" spans="3:11" x14ac:dyDescent="0.25">
      <c r="C190" s="105"/>
      <c r="D190" s="105"/>
      <c r="E190" s="105"/>
      <c r="F190" s="105"/>
      <c r="G190" s="105"/>
      <c r="H190" s="105"/>
      <c r="I190" s="105"/>
    </row>
    <row r="191" spans="3:11" x14ac:dyDescent="0.25">
      <c r="C191" s="105"/>
      <c r="D191" s="105"/>
      <c r="E191" s="105"/>
      <c r="F191" s="105"/>
      <c r="G191" s="105"/>
      <c r="H191" s="105"/>
      <c r="I191" s="105"/>
    </row>
    <row r="192" spans="3:11" x14ac:dyDescent="0.25">
      <c r="C192" s="105"/>
      <c r="D192" s="105"/>
      <c r="E192" s="105"/>
      <c r="F192" s="105"/>
      <c r="G192" s="105"/>
      <c r="H192" s="105"/>
      <c r="I192" s="105"/>
    </row>
    <row r="193" spans="3:9" x14ac:dyDescent="0.25">
      <c r="C193" s="105"/>
      <c r="D193" s="105"/>
      <c r="E193" s="105"/>
      <c r="F193" s="105"/>
      <c r="G193" s="105"/>
      <c r="H193" s="105"/>
      <c r="I193" s="105"/>
    </row>
    <row r="194" spans="3:9" x14ac:dyDescent="0.25">
      <c r="C194" s="105"/>
      <c r="D194" s="105"/>
      <c r="E194" s="105"/>
      <c r="F194" s="105"/>
      <c r="G194" s="105"/>
      <c r="H194" s="105"/>
      <c r="I194" s="105"/>
    </row>
    <row r="195" spans="3:9" x14ac:dyDescent="0.25">
      <c r="C195" s="105"/>
      <c r="D195" s="105"/>
      <c r="E195" s="105"/>
      <c r="F195" s="105"/>
      <c r="G195" s="105"/>
      <c r="H195" s="105"/>
      <c r="I195" s="105"/>
    </row>
    <row r="196" spans="3:9" x14ac:dyDescent="0.25">
      <c r="C196" s="105"/>
      <c r="D196" s="105"/>
      <c r="E196" s="105"/>
      <c r="F196" s="105"/>
      <c r="G196" s="105"/>
      <c r="H196" s="105"/>
      <c r="I196" s="105"/>
    </row>
  </sheetData>
  <mergeCells count="15">
    <mergeCell ref="F166:H166"/>
    <mergeCell ref="L47:W48"/>
    <mergeCell ref="K51:K52"/>
    <mergeCell ref="L124:W125"/>
    <mergeCell ref="L161:M161"/>
    <mergeCell ref="L162:M162"/>
    <mergeCell ref="F165:H165"/>
    <mergeCell ref="C2:I2"/>
    <mergeCell ref="C3:I3"/>
    <mergeCell ref="C4:I4"/>
    <mergeCell ref="C5:I5"/>
    <mergeCell ref="C6:I6"/>
    <mergeCell ref="C7:C8"/>
    <mergeCell ref="D7:H7"/>
    <mergeCell ref="I7:I8"/>
  </mergeCells>
  <conditionalFormatting sqref="J10">
    <cfRule type="cellIs" dxfId="10" priority="7" operator="equal">
      <formula>0</formula>
    </cfRule>
    <cfRule type="cellIs" dxfId="9" priority="8" operator="lessThan">
      <formula>0</formula>
    </cfRule>
  </conditionalFormatting>
  <conditionalFormatting sqref="J12">
    <cfRule type="cellIs" dxfId="8" priority="5" operator="equal">
      <formula>0</formula>
    </cfRule>
  </conditionalFormatting>
  <conditionalFormatting sqref="J14">
    <cfRule type="cellIs" dxfId="7" priority="10" operator="equal">
      <formula>0</formula>
    </cfRule>
    <cfRule type="cellIs" dxfId="6" priority="11" operator="lessThan">
      <formula>0</formula>
    </cfRule>
  </conditionalFormatting>
  <conditionalFormatting sqref="J88">
    <cfRule type="cellIs" dxfId="5" priority="9" operator="equal">
      <formula>0</formula>
    </cfRule>
  </conditionalFormatting>
  <conditionalFormatting sqref="J169"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L161:M161">
    <cfRule type="cellIs" dxfId="2" priority="6" operator="equal">
      <formula>$L$162</formula>
    </cfRule>
  </conditionalFormatting>
  <conditionalFormatting sqref="N161">
    <cfRule type="cellIs" dxfId="1" priority="4" operator="equal">
      <formula>0</formula>
    </cfRule>
  </conditionalFormatting>
  <conditionalFormatting sqref="K140">
    <cfRule type="cellIs" dxfId="0" priority="1" operator="equal">
      <formula>0</formula>
    </cfRule>
  </conditionalFormatting>
  <pageMargins left="0.7" right="0.7" top="0.75" bottom="0.75" header="0.3" footer="0.3"/>
  <pageSetup scale="61" fitToHeight="4" orientation="portrait" r:id="rId1"/>
  <headerFooter scaleWithDoc="0" alignWithMargins="0">
    <oddFooter>&amp;R&amp;8&amp;P/&amp;N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41.EAEPED (COG)(LDF5) </vt:lpstr>
      <vt:lpstr>'41.EAEPED (COG)(LDF5) '!Área_de_impresión</vt:lpstr>
      <vt:lpstr>'41.EAEPED (COG)(LDF5)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2024-02-06T19:08:54Z</dcterms:created>
  <dcterms:modified xsi:type="dcterms:W3CDTF">2024-02-06T19:09:00Z</dcterms:modified>
</cp:coreProperties>
</file>