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en\Desktop\2024 H\PROGRAMATICA\"/>
    </mc:Choice>
  </mc:AlternateContent>
  <xr:revisionPtr revIDLastSave="0" documentId="13_ncr:1_{FE25FD15-58EB-4B8A-A1B9-9459D07D25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25" i="1" l="1"/>
  <c r="M124" i="1"/>
  <c r="M123" i="1"/>
  <c r="M99" i="1"/>
  <c r="L99" i="1"/>
  <c r="M94" i="1"/>
  <c r="M92" i="1"/>
  <c r="M91" i="1"/>
  <c r="M88" i="1"/>
  <c r="M59" i="1"/>
  <c r="M55" i="1"/>
  <c r="L14" i="1"/>
  <c r="L125" i="1"/>
  <c r="L124" i="1"/>
  <c r="L123" i="1"/>
  <c r="L98" i="1"/>
  <c r="L94" i="1"/>
  <c r="L88" i="1"/>
  <c r="L92" i="1"/>
  <c r="L91" i="1"/>
  <c r="K14" i="1"/>
  <c r="K125" i="1"/>
  <c r="K124" i="1"/>
  <c r="K123" i="1"/>
  <c r="K99" i="1"/>
  <c r="K98" i="1"/>
  <c r="K94" i="1"/>
  <c r="K88" i="1"/>
  <c r="K92" i="1"/>
  <c r="K91" i="1"/>
  <c r="J174" i="1" l="1"/>
  <c r="J33" i="1"/>
  <c r="J14" i="1"/>
  <c r="J124" i="1"/>
  <c r="J125" i="1"/>
  <c r="J123" i="1"/>
  <c r="J113" i="1"/>
  <c r="J99" i="1"/>
  <c r="J98" i="1"/>
  <c r="J94" i="1"/>
  <c r="J92" i="1"/>
  <c r="J91" i="1"/>
  <c r="J88" i="1"/>
  <c r="I14" i="1"/>
  <c r="F125" i="1"/>
  <c r="E125" i="1"/>
  <c r="I124" i="1"/>
  <c r="H124" i="1"/>
  <c r="G124" i="1"/>
  <c r="F124" i="1"/>
  <c r="I113" i="1"/>
  <c r="I99" i="1"/>
  <c r="H99" i="1"/>
  <c r="G99" i="1"/>
  <c r="I98" i="1"/>
  <c r="I94" i="1"/>
  <c r="I92" i="1"/>
  <c r="I91" i="1"/>
  <c r="I88" i="1"/>
  <c r="I59" i="1"/>
  <c r="I55" i="1"/>
  <c r="H14" i="1" l="1"/>
  <c r="H113" i="1"/>
  <c r="H98" i="1"/>
  <c r="H94" i="1"/>
  <c r="H92" i="1"/>
  <c r="H91" i="1"/>
  <c r="H88" i="1"/>
  <c r="H59" i="1"/>
  <c r="H55" i="1"/>
  <c r="G14" i="1"/>
  <c r="G114" i="1"/>
  <c r="G94" i="1"/>
  <c r="G92" i="1"/>
  <c r="G91" i="1"/>
  <c r="G88" i="1"/>
  <c r="G59" i="1" l="1"/>
  <c r="G57" i="1"/>
  <c r="G55" i="1"/>
  <c r="F76" i="1"/>
  <c r="F28" i="1"/>
  <c r="F14" i="1"/>
  <c r="F99" i="1"/>
  <c r="E99" i="1"/>
  <c r="F94" i="1"/>
  <c r="F92" i="1"/>
  <c r="F91" i="1"/>
  <c r="F88" i="1"/>
  <c r="F59" i="1"/>
  <c r="F57" i="1"/>
  <c r="F55" i="1"/>
  <c r="E113" i="1" l="1"/>
  <c r="E55" i="1"/>
  <c r="E59" i="1"/>
  <c r="E57" i="1"/>
  <c r="D113" i="1" l="1"/>
  <c r="D98" i="1"/>
  <c r="D94" i="1"/>
  <c r="D92" i="1"/>
  <c r="D91" i="1"/>
  <c r="D88" i="1"/>
  <c r="C113" i="1"/>
  <c r="B113" i="1"/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H155" i="1" l="1"/>
  <c r="K155" i="1"/>
  <c r="D155" i="1"/>
  <c r="C155" i="1"/>
  <c r="L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21" i="1" l="1"/>
  <c r="R21" i="1" s="1"/>
  <c r="N31" i="1"/>
  <c r="N34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<sst xmlns="http://schemas.openxmlformats.org/spreadsheetml/2006/main" count="175" uniqueCount="168">
  <si>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</si>
  <si>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</si>
  <si>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</si>
  <si>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</si>
  <si>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</si>
  <si>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</si>
  <si>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</si>
  <si>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</si>
  <si>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</si>
  <si>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</si>
  <si>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</si>
  <si>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</si>
  <si>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</si>
  <si>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</si>
  <si>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</si>
  <si>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</si>
  <si>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</si>
  <si>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</si>
  <si>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</si>
  <si>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</si>
  <si>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</si>
  <si>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</si>
  <si>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</si>
  <si>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</si>
  <si>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</si>
  <si>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</si>
  <si>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</si>
  <si>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</si>
  <si>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</si>
  <si>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</si>
  <si>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</si>
  <si>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</si>
  <si>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</si>
  <si>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</si>
  <si>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</si>
  <si>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</si>
  <si>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</si>
  <si>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</si>
  <si>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</si>
  <si>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</si>
  <si>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</si>
  <si>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</si>
  <si>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</si>
  <si>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</si>
  <si>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</si>
  <si>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</si>
  <si>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</si>
  <si>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</si>
  <si>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</si>
  <si>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</si>
  <si>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</si>
  <si>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</si>
  <si>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</si>
  <si>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</si>
  <si>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</si>
  <si>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</si>
  <si>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</si>
  <si>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</si>
  <si>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</si>
  <si>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</si>
  <si>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</si>
  <si>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</si>
  <si>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</si>
  <si>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</si>
  <si>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</si>
  <si>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</si>
  <si>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</si>
  <si>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</si>
  <si>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</si>
  <si>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</si>
  <si>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</si>
  <si>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</si>
  <si>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</si>
  <si>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</si>
  <si>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</si>
  <si>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</si>
  <si>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</si>
  <si>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</si>
  <si>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</si>
  <si>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</si>
  <si>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</si>
  <si>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</si>
  <si>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</si>
  <si>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</si>
  <si>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</si>
  <si>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</si>
  <si>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</si>
  <si>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</si>
  <si>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</si>
  <si>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</si>
  <si>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</si>
  <si>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</si>
  <si>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</si>
  <si>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</si>
  <si>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</si>
  <si>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</si>
  <si>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</si>
  <si>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</si>
  <si>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</si>
  <si>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</si>
  <si>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</si>
  <si>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</si>
  <si>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</si>
  <si>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</si>
  <si>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</si>
  <si>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</si>
  <si>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</si>
  <si>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</si>
  <si>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</si>
  <si>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</si>
  <si>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</si>
  <si>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</si>
  <si>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</si>
  <si>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</si>
  <si>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</si>
  <si>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</si>
  <si>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</si>
  <si>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</si>
  <si>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</si>
  <si>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</si>
  <si>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</si>
  <si>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</si>
  <si>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</si>
  <si>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</si>
  <si>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</si>
  <si>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</si>
  <si>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</si>
  <si>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</si>
  <si>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</si>
  <si>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</si>
  <si>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</si>
  <si>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</si>
  <si>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</si>
  <si>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</si>
  <si>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</si>
  <si>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</si>
  <si>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</si>
  <si>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</si>
  <si>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</si>
  <si>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</si>
  <si>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</si>
  <si>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</si>
  <si>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</si>
  <si>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</si>
  <si>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</si>
  <si>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</si>
  <si>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</si>
  <si>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</si>
  <si>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</si>
  <si>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</si>
  <si>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</si>
  <si>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</si>
  <si>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</si>
  <si>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</si>
  <si>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</si>
  <si>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</si>
  <si>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</si>
  <si>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</si>
  <si>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</si>
  <si>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</si>
  <si>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</si>
  <si>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</si>
  <si>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</si>
  <si>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JUNTA MUNICIPAL DE AGUA Y SANEAMIENTO DE MADERA</t>
  </si>
  <si>
    <t xml:space="preserve">                                       C.P. FEDERICO MENDOZA ROMERO</t>
  </si>
  <si>
    <t>C. ADRIAN GONZALEZ GONZALEZ</t>
  </si>
  <si>
    <t xml:space="preserve">                                                 DIRECTOR EJECUTIVO</t>
  </si>
  <si>
    <t xml:space="preserve">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</si>
</sst>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6">
    <cellStyle name="Millares" xfId="1" builtinId="3"/>
    <cellStyle name="Millares 2" xfId="4" xr:uid="{6ADC627E-456E-4002-AA2F-5F664F520A85}"/>
    <cellStyle name="Normal" xfId="0" builtinId="0"/>
    <cellStyle name="Normal 2" xfId="5" xr:uid="{398206D0-7810-4072-9B3F-ADC441759781}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3214499</xdr:colOff>
      <xdr:row>4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E669B66-3E0F-5C24-9646-566CA928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4499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0"/>
  <sheetViews>
    <sheetView tabSelected="1" topLeftCell="A157" zoomScaleNormal="100" workbookViewId="0">
      <selection activeCell="E193" sqref="E193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04" t="s">
        <v>163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5.75" x14ac:dyDescent="0.25">
      <c r="A4" s="102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90"/>
      <c r="Q6" s="90"/>
      <c r="R6" s="90"/>
    </row>
    <row r="7" spans="1:18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9" t="s">
        <v>148</v>
      </c>
      <c r="B10" s="1">
        <f>+B11+B19</f>
        <v>1063662.1499999999</v>
      </c>
      <c r="C10" s="1">
        <f t="shared" ref="C10:N10" si="0">+C11+C19</f>
        <v>819001.83000000054</v>
      </c>
      <c r="D10" s="1">
        <f t="shared" si="0"/>
        <v>965546.88</v>
      </c>
      <c r="E10" s="1">
        <f t="shared" si="0"/>
        <v>990203.41000000015</v>
      </c>
      <c r="F10" s="1">
        <f t="shared" si="0"/>
        <v>1098977.53</v>
      </c>
      <c r="G10" s="1">
        <f t="shared" si="0"/>
        <v>1265799.3</v>
      </c>
      <c r="H10" s="1">
        <f t="shared" si="0"/>
        <v>1156940.9300000002</v>
      </c>
      <c r="I10" s="1">
        <f t="shared" si="0"/>
        <v>1048399.6599999998</v>
      </c>
      <c r="J10" s="1">
        <f t="shared" si="0"/>
        <v>906670</v>
      </c>
      <c r="K10" s="1">
        <f t="shared" si="0"/>
        <v>1068979.6800000002</v>
      </c>
      <c r="L10" s="1">
        <f t="shared" si="0"/>
        <v>1156902.6300000008</v>
      </c>
      <c r="M10" s="1">
        <f t="shared" si="0"/>
        <v>1059335.8799999997</v>
      </c>
      <c r="N10" s="1">
        <f t="shared" si="0"/>
        <v>12600419.880000003</v>
      </c>
      <c r="O10" s="1">
        <f>+O11+O19</f>
        <v>0</v>
      </c>
      <c r="P10" s="1">
        <f>+P11+P19</f>
        <v>0</v>
      </c>
      <c r="Q10" s="1">
        <f>+N10-P10</f>
        <v>12600419.880000003</v>
      </c>
      <c r="R10" s="2" t="e">
        <f>+N10/O10</f>
        <v>#DIV/0!</v>
      </c>
    </row>
    <row r="11" spans="1:18" x14ac:dyDescent="0.25">
      <c r="A11" s="70" t="s">
        <v>149</v>
      </c>
      <c r="B11" s="3">
        <f>+B13+B16+B17</f>
        <v>1063662.1499999999</v>
      </c>
      <c r="C11" s="3">
        <f t="shared" ref="C11:N11" si="1">+C13+C16+C17</f>
        <v>819001.83000000054</v>
      </c>
      <c r="D11" s="3">
        <f t="shared" si="1"/>
        <v>965546.88</v>
      </c>
      <c r="E11" s="3">
        <f t="shared" si="1"/>
        <v>990203.41000000015</v>
      </c>
      <c r="F11" s="3">
        <f t="shared" si="1"/>
        <v>1098977.53</v>
      </c>
      <c r="G11" s="3">
        <f t="shared" si="1"/>
        <v>1265799.3</v>
      </c>
      <c r="H11" s="3">
        <f t="shared" si="1"/>
        <v>1156940.9300000002</v>
      </c>
      <c r="I11" s="3">
        <f t="shared" si="1"/>
        <v>1048399.6599999998</v>
      </c>
      <c r="J11" s="3">
        <f t="shared" si="1"/>
        <v>906670</v>
      </c>
      <c r="K11" s="3">
        <f t="shared" si="1"/>
        <v>1068979.6800000002</v>
      </c>
      <c r="L11" s="3">
        <f t="shared" si="1"/>
        <v>1156902.6300000008</v>
      </c>
      <c r="M11" s="3">
        <f t="shared" si="1"/>
        <v>1059335.8799999997</v>
      </c>
      <c r="N11" s="3">
        <f t="shared" si="1"/>
        <v>12600419.880000003</v>
      </c>
      <c r="O11" s="3">
        <f>+O13+O16+O17</f>
        <v>0</v>
      </c>
      <c r="P11" s="3">
        <f>+P13</f>
        <v>0</v>
      </c>
      <c r="Q11" s="3">
        <f>+N11-P11</f>
        <v>12600419.880000003</v>
      </c>
      <c r="R11" s="4" t="e">
        <f>+N10/O10</f>
        <v>#DIV/0!</v>
      </c>
    </row>
    <row r="12" spans="1:18" x14ac:dyDescent="0.25">
      <c r="A12" s="70" t="s">
        <v>150</v>
      </c>
      <c r="B12" s="3">
        <f>+B14+B16+B17</f>
        <v>1026270.49</v>
      </c>
      <c r="C12" s="3">
        <f t="shared" ref="C12:N12" si="2">+C14+C16+C17</f>
        <v>809872.3900000006</v>
      </c>
      <c r="D12" s="3">
        <f t="shared" si="2"/>
        <v>934047.72</v>
      </c>
      <c r="E12" s="3">
        <f t="shared" si="2"/>
        <v>948799.06</v>
      </c>
      <c r="F12" s="3">
        <f t="shared" si="2"/>
        <v>1062342.04</v>
      </c>
      <c r="G12" s="3">
        <f t="shared" si="2"/>
        <v>917359.27000000014</v>
      </c>
      <c r="H12" s="3">
        <f t="shared" si="2"/>
        <v>1098369.83</v>
      </c>
      <c r="I12" s="3">
        <f t="shared" si="2"/>
        <v>1009505.7099999998</v>
      </c>
      <c r="J12" s="3">
        <f t="shared" si="2"/>
        <v>872290.49</v>
      </c>
      <c r="K12" s="3">
        <f t="shared" si="2"/>
        <v>1025018.3900000001</v>
      </c>
      <c r="L12" s="3">
        <f t="shared" si="2"/>
        <v>1107978.040000001</v>
      </c>
      <c r="M12" s="3">
        <f t="shared" si="2"/>
        <v>1022493.3199999996</v>
      </c>
      <c r="N12" s="3">
        <f t="shared" si="2"/>
        <v>11834346.750000004</v>
      </c>
      <c r="O12" s="14"/>
      <c r="P12" s="3">
        <f t="shared" ref="P12:P19" si="3">+O12/12*$R$20</f>
        <v>0</v>
      </c>
      <c r="Q12" s="3">
        <f>+N12-P12</f>
        <v>11834346.750000004</v>
      </c>
      <c r="R12" s="4" t="e">
        <f t="shared" ref="R12:R13" si="4">+N11/O11</f>
        <v>#DIV/0!</v>
      </c>
    </row>
    <row r="13" spans="1:18" x14ac:dyDescent="0.25">
      <c r="A13" s="71" t="s">
        <v>18</v>
      </c>
      <c r="B13" s="3">
        <f>+B14+B15</f>
        <v>1225121.6499999999</v>
      </c>
      <c r="C13" s="3">
        <f t="shared" ref="C13:N13" si="5">+C14+C15</f>
        <v>923141.02999999991</v>
      </c>
      <c r="D13" s="3">
        <f t="shared" si="5"/>
        <v>1072460.74</v>
      </c>
      <c r="E13" s="3">
        <f t="shared" si="5"/>
        <v>1120276.9100000001</v>
      </c>
      <c r="F13" s="3">
        <f t="shared" si="5"/>
        <v>1236097.78</v>
      </c>
      <c r="G13" s="3">
        <f t="shared" si="5"/>
        <v>1398690.8800000001</v>
      </c>
      <c r="H13" s="3">
        <f t="shared" si="5"/>
        <v>1337365.8600000001</v>
      </c>
      <c r="I13" s="3">
        <f t="shared" si="5"/>
        <v>1243858.6199999999</v>
      </c>
      <c r="J13" s="3">
        <f t="shared" si="5"/>
        <v>1010601.63</v>
      </c>
      <c r="K13" s="3">
        <f t="shared" si="5"/>
        <v>3315582.29</v>
      </c>
      <c r="L13" s="3">
        <f t="shared" si="5"/>
        <v>7972281.4900000002</v>
      </c>
      <c r="M13" s="3">
        <f t="shared" si="5"/>
        <v>2866812.01</v>
      </c>
      <c r="N13" s="3">
        <f t="shared" si="5"/>
        <v>24722290.890000001</v>
      </c>
      <c r="O13" s="3">
        <f>+O12+O15</f>
        <v>0</v>
      </c>
      <c r="P13" s="3">
        <f>+P12+P15</f>
        <v>0</v>
      </c>
      <c r="Q13" s="3">
        <f>+N13-P13</f>
        <v>24722290.890000001</v>
      </c>
      <c r="R13" s="4" t="e">
        <f t="shared" si="4"/>
        <v>#DIV/0!</v>
      </c>
    </row>
    <row r="14" spans="1:18" x14ac:dyDescent="0.25">
      <c r="A14" s="72" t="s">
        <v>151</v>
      </c>
      <c r="B14" s="14">
        <v>1187729.99</v>
      </c>
      <c r="C14" s="14">
        <v>914011.59</v>
      </c>
      <c r="D14" s="14">
        <v>1040961.58</v>
      </c>
      <c r="E14" s="14">
        <v>1078872.56</v>
      </c>
      <c r="F14" s="14">
        <f>1062342.04+137120.25</f>
        <v>1199462.29</v>
      </c>
      <c r="G14" s="14">
        <f>917359.27+132891.58</f>
        <v>1050250.8500000001</v>
      </c>
      <c r="H14" s="14">
        <f>1170369.83+108424.93</f>
        <v>1278794.76</v>
      </c>
      <c r="I14" s="14">
        <f>1009505.71+195458.96</f>
        <v>1204964.67</v>
      </c>
      <c r="J14" s="14">
        <f>872290.49+103931.63</f>
        <v>976222.12</v>
      </c>
      <c r="K14" s="14">
        <f>1025018.39+2246602.61</f>
        <v>3271621</v>
      </c>
      <c r="L14" s="14">
        <f>1107978.04+6815378.86</f>
        <v>7923356.9000000004</v>
      </c>
      <c r="M14" s="14">
        <f>1022493.32+1807476.13</f>
        <v>2829969.4499999997</v>
      </c>
      <c r="N14" s="3">
        <f t="shared" ref="N14:N19" si="6">SUM(B14:M14)</f>
        <v>23956217.760000002</v>
      </c>
      <c r="O14" s="3"/>
      <c r="P14" s="3"/>
      <c r="Q14" s="3"/>
      <c r="R14" s="4"/>
    </row>
    <row r="15" spans="1:18" x14ac:dyDescent="0.25">
      <c r="A15" s="72" t="s">
        <v>19</v>
      </c>
      <c r="B15" s="14">
        <v>37391.660000000003</v>
      </c>
      <c r="C15" s="14">
        <v>9129.44</v>
      </c>
      <c r="D15" s="14">
        <v>31499.16</v>
      </c>
      <c r="E15" s="14">
        <v>41404.35</v>
      </c>
      <c r="F15" s="14">
        <v>36635.49</v>
      </c>
      <c r="G15" s="14">
        <v>348440.03</v>
      </c>
      <c r="H15" s="14">
        <v>58571.1</v>
      </c>
      <c r="I15" s="14">
        <v>38893.949999999997</v>
      </c>
      <c r="J15" s="14">
        <v>34379.51</v>
      </c>
      <c r="K15" s="14">
        <v>43961.29</v>
      </c>
      <c r="L15" s="14">
        <v>48924.59</v>
      </c>
      <c r="M15" s="14">
        <v>36842.559999999998</v>
      </c>
      <c r="N15" s="3">
        <f t="shared" si="6"/>
        <v>766073.12999999989</v>
      </c>
      <c r="O15" s="14"/>
      <c r="P15" s="3">
        <f t="shared" si="3"/>
        <v>0</v>
      </c>
      <c r="Q15" s="3">
        <f t="shared" ref="Q15:Q19" si="7">+N15-P15</f>
        <v>766073.12999999989</v>
      </c>
      <c r="R15" s="4" t="e">
        <f>+N15/O15</f>
        <v>#DIV/0!</v>
      </c>
    </row>
    <row r="16" spans="1:18" x14ac:dyDescent="0.25">
      <c r="A16" s="73" t="s">
        <v>110</v>
      </c>
      <c r="B16" s="39">
        <v>-92833.55</v>
      </c>
      <c r="C16" s="39">
        <v>-87277.569999999396</v>
      </c>
      <c r="D16" s="39">
        <v>-95137.14</v>
      </c>
      <c r="E16" s="39">
        <v>-105817.01</v>
      </c>
      <c r="F16" s="39">
        <v>-107109.98</v>
      </c>
      <c r="G16" s="39">
        <v>-95191.48</v>
      </c>
      <c r="H16" s="39">
        <v>-108075.28</v>
      </c>
      <c r="I16" s="39">
        <v>-102736.33</v>
      </c>
      <c r="J16" s="39">
        <v>-98776.07</v>
      </c>
      <c r="K16" s="39">
        <v>-101456.86</v>
      </c>
      <c r="L16" s="39">
        <v>-104603.39</v>
      </c>
      <c r="M16" s="39">
        <v>-96905.47</v>
      </c>
      <c r="N16" s="3">
        <f t="shared" si="6"/>
        <v>-1195920.1299999994</v>
      </c>
      <c r="O16" s="3"/>
      <c r="P16" s="3"/>
      <c r="Q16" s="3"/>
      <c r="R16" s="4"/>
    </row>
    <row r="17" spans="1:18" x14ac:dyDescent="0.25">
      <c r="A17" s="73" t="s">
        <v>111</v>
      </c>
      <c r="B17" s="39">
        <v>-68625.95</v>
      </c>
      <c r="C17" s="39">
        <v>-16861.63</v>
      </c>
      <c r="D17" s="39">
        <v>-11776.72</v>
      </c>
      <c r="E17" s="39">
        <v>-24256.49</v>
      </c>
      <c r="F17" s="39">
        <v>-30010.27</v>
      </c>
      <c r="G17" s="39">
        <v>-37700.1</v>
      </c>
      <c r="H17" s="39">
        <v>-72349.649999999994</v>
      </c>
      <c r="I17" s="39">
        <v>-92722.63</v>
      </c>
      <c r="J17" s="39">
        <v>-5155.5600000000004</v>
      </c>
      <c r="K17" s="39">
        <v>-2145145.75</v>
      </c>
      <c r="L17" s="39">
        <v>-6710775.4699999997</v>
      </c>
      <c r="M17" s="39">
        <v>-1710570.66</v>
      </c>
      <c r="N17" s="3">
        <f t="shared" si="6"/>
        <v>-10925950.879999999</v>
      </c>
      <c r="O17" s="3"/>
      <c r="P17" s="3"/>
      <c r="Q17" s="3"/>
      <c r="R17" s="4"/>
    </row>
    <row r="18" spans="1:18" x14ac:dyDescent="0.25">
      <c r="A18" s="73" t="s">
        <v>152</v>
      </c>
      <c r="B18" s="91">
        <v>-17444.52</v>
      </c>
      <c r="C18" s="91">
        <v>-35847.339999999997</v>
      </c>
      <c r="D18" s="91">
        <v>-123594.29</v>
      </c>
      <c r="E18" s="91">
        <v>-35437.879999999997</v>
      </c>
      <c r="F18" s="91">
        <v>-45896.74</v>
      </c>
      <c r="G18" s="91">
        <v>-33751.949999999997</v>
      </c>
      <c r="H18" s="91">
        <v>-56247.03</v>
      </c>
      <c r="I18" s="91">
        <v>-30540.94</v>
      </c>
      <c r="J18" s="91">
        <v>-27881.08</v>
      </c>
      <c r="K18" s="91">
        <v>-44738.11</v>
      </c>
      <c r="L18" s="91">
        <v>-145669.47</v>
      </c>
      <c r="M18" s="91">
        <v>-57769.47</v>
      </c>
      <c r="N18" s="3">
        <f t="shared" si="6"/>
        <v>-654818.81999999995</v>
      </c>
      <c r="O18" s="3"/>
      <c r="P18" s="3"/>
      <c r="Q18" s="3"/>
      <c r="R18" s="4"/>
    </row>
    <row r="19" spans="1:18" x14ac:dyDescent="0.25">
      <c r="A19" s="74" t="s">
        <v>146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 t="shared" si="6"/>
        <v>0</v>
      </c>
      <c r="O19" s="14"/>
      <c r="P19" s="3">
        <f t="shared" si="3"/>
        <v>0</v>
      </c>
      <c r="Q19" s="3">
        <f t="shared" si="7"/>
        <v>0</v>
      </c>
      <c r="R19" s="4" t="e">
        <f>+N19/O19</f>
        <v>#DIV/0!</v>
      </c>
    </row>
    <row r="20" spans="1:18" x14ac:dyDescent="0.25">
      <c r="A20" s="7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75" t="s">
        <v>20</v>
      </c>
      <c r="B21" s="5">
        <f>+B22+B32+B33</f>
        <v>972247.95</v>
      </c>
      <c r="C21" s="5">
        <f t="shared" ref="C21:N21" si="8">+C22+C32+C33</f>
        <v>787278.31</v>
      </c>
      <c r="D21" s="5">
        <f t="shared" si="8"/>
        <v>878194.41</v>
      </c>
      <c r="E21" s="5">
        <f t="shared" si="8"/>
        <v>1165694.1600000001</v>
      </c>
      <c r="F21" s="5">
        <f t="shared" si="8"/>
        <v>1349172.3</v>
      </c>
      <c r="G21" s="5">
        <f t="shared" si="8"/>
        <v>1039127.59</v>
      </c>
      <c r="H21" s="5">
        <f t="shared" si="8"/>
        <v>1000865.94</v>
      </c>
      <c r="I21" s="5">
        <f t="shared" si="8"/>
        <v>1028180.4900000002</v>
      </c>
      <c r="J21" s="5">
        <f t="shared" si="8"/>
        <v>893430.43</v>
      </c>
      <c r="K21" s="5">
        <f t="shared" si="8"/>
        <v>1019609.6599999999</v>
      </c>
      <c r="L21" s="5">
        <f t="shared" si="8"/>
        <v>1207048.9000000001</v>
      </c>
      <c r="M21" s="5">
        <f t="shared" si="8"/>
        <v>1167035.7599999998</v>
      </c>
      <c r="N21" s="5">
        <f t="shared" si="8"/>
        <v>12507885.9</v>
      </c>
      <c r="O21" s="5">
        <f>+O22+O32+O33</f>
        <v>0</v>
      </c>
      <c r="P21" s="5">
        <f>+P22+P32+P33</f>
        <v>0</v>
      </c>
      <c r="Q21" s="5">
        <f t="shared" ref="Q21:Q30" si="9">+N21-P21</f>
        <v>12507885.9</v>
      </c>
      <c r="R21" s="2" t="e">
        <f>+N21/O21</f>
        <v>#DIV/0!</v>
      </c>
    </row>
    <row r="22" spans="1:18" x14ac:dyDescent="0.25">
      <c r="A22" s="70" t="s">
        <v>155</v>
      </c>
      <c r="B22" s="6">
        <f>+B23+B24+B25+B29+B30</f>
        <v>949185.75</v>
      </c>
      <c r="C22" s="6">
        <f t="shared" ref="C22:N22" si="10">+C23+C24+C25+C29+C30</f>
        <v>771451.31</v>
      </c>
      <c r="D22" s="6">
        <f t="shared" si="10"/>
        <v>869229.51</v>
      </c>
      <c r="E22" s="6">
        <f t="shared" si="10"/>
        <v>1078585.1600000001</v>
      </c>
      <c r="F22" s="6">
        <f t="shared" si="10"/>
        <v>995262.3</v>
      </c>
      <c r="G22" s="6">
        <f t="shared" si="10"/>
        <v>891277.59</v>
      </c>
      <c r="H22" s="6">
        <f t="shared" si="10"/>
        <v>1000865.94</v>
      </c>
      <c r="I22" s="6">
        <f t="shared" si="10"/>
        <v>916333.17000000016</v>
      </c>
      <c r="J22" s="6">
        <f t="shared" si="10"/>
        <v>874329.12</v>
      </c>
      <c r="K22" s="6">
        <f t="shared" si="10"/>
        <v>795755.8899999999</v>
      </c>
      <c r="L22" s="6">
        <f t="shared" si="10"/>
        <v>1207048.9000000001</v>
      </c>
      <c r="M22" s="6">
        <f t="shared" si="10"/>
        <v>1096116.7599999998</v>
      </c>
      <c r="N22" s="6">
        <f t="shared" si="10"/>
        <v>11445441.4</v>
      </c>
      <c r="O22" s="6">
        <f>+O23+O24+O25+O29+O30</f>
        <v>0</v>
      </c>
      <c r="P22" s="6">
        <f>+P23+P24+P25+P29+P30</f>
        <v>0</v>
      </c>
      <c r="Q22" s="6">
        <f t="shared" si="9"/>
        <v>11445441.4</v>
      </c>
      <c r="R22" s="4" t="e">
        <f>+N21/O21</f>
        <v>#DIV/0!</v>
      </c>
    </row>
    <row r="23" spans="1:18" x14ac:dyDescent="0.25">
      <c r="A23" s="71" t="s">
        <v>21</v>
      </c>
      <c r="B23" s="14">
        <v>314605.12</v>
      </c>
      <c r="C23" s="14">
        <v>314605.12</v>
      </c>
      <c r="D23" s="14">
        <v>356296.62</v>
      </c>
      <c r="E23" s="14">
        <v>356048.71</v>
      </c>
      <c r="F23" s="14">
        <v>447186.52</v>
      </c>
      <c r="G23" s="14">
        <v>431477.27</v>
      </c>
      <c r="H23" s="14">
        <v>281859.78999999998</v>
      </c>
      <c r="I23" s="14">
        <v>423737.96</v>
      </c>
      <c r="J23" s="14">
        <v>282689.59000000003</v>
      </c>
      <c r="K23" s="14">
        <v>293425.03000000003</v>
      </c>
      <c r="L23" s="14">
        <v>612372.04</v>
      </c>
      <c r="M23" s="14">
        <v>322980.5</v>
      </c>
      <c r="N23" s="15">
        <f>SUM(B23:M23)</f>
        <v>4437284.2700000005</v>
      </c>
      <c r="O23" s="14"/>
      <c r="P23" s="3">
        <f>+O23/12*$R$20</f>
        <v>0</v>
      </c>
      <c r="Q23" s="3">
        <f t="shared" si="9"/>
        <v>4437284.2700000005</v>
      </c>
      <c r="R23" s="4" t="e">
        <f t="shared" ref="R23:R34" si="11">+N22/O22</f>
        <v>#DIV/0!</v>
      </c>
    </row>
    <row r="24" spans="1:18" x14ac:dyDescent="0.25">
      <c r="A24" s="73" t="s">
        <v>22</v>
      </c>
      <c r="B24" s="14">
        <v>251458.32</v>
      </c>
      <c r="C24" s="14">
        <v>133452.39000000001</v>
      </c>
      <c r="D24" s="14">
        <v>251608.37</v>
      </c>
      <c r="E24" s="14">
        <v>286997.65999999997</v>
      </c>
      <c r="F24" s="14">
        <v>329665.98</v>
      </c>
      <c r="G24" s="14">
        <v>102082.7</v>
      </c>
      <c r="H24" s="14">
        <v>289840.40999999997</v>
      </c>
      <c r="I24" s="14">
        <v>183404.14</v>
      </c>
      <c r="J24" s="14">
        <v>271832.65000000002</v>
      </c>
      <c r="K24" s="14">
        <v>190311.49</v>
      </c>
      <c r="L24" s="14">
        <v>229881.72</v>
      </c>
      <c r="M24" s="14">
        <v>465401.47</v>
      </c>
      <c r="N24" s="15">
        <f>SUM(B24:M24)</f>
        <v>2985937.3</v>
      </c>
      <c r="O24" s="14"/>
      <c r="P24" s="3">
        <f>+O24/12*$R$20</f>
        <v>0</v>
      </c>
      <c r="Q24" s="3">
        <f t="shared" si="9"/>
        <v>2985937.3</v>
      </c>
      <c r="R24" s="4" t="e">
        <f t="shared" si="11"/>
        <v>#DIV/0!</v>
      </c>
    </row>
    <row r="25" spans="1:18" x14ac:dyDescent="0.25">
      <c r="A25" s="73" t="s">
        <v>75</v>
      </c>
      <c r="B25" s="3">
        <f>+B26+B28</f>
        <v>349581.08</v>
      </c>
      <c r="C25" s="3">
        <f t="shared" ref="C25:N25" si="12">+C26+C28</f>
        <v>278469.91000000003</v>
      </c>
      <c r="D25" s="3">
        <f t="shared" si="12"/>
        <v>219621.09999999998</v>
      </c>
      <c r="E25" s="3">
        <f t="shared" si="12"/>
        <v>355726.43</v>
      </c>
      <c r="F25" s="3">
        <f t="shared" si="12"/>
        <v>148586.35999999999</v>
      </c>
      <c r="G25" s="3">
        <f t="shared" si="12"/>
        <v>281983.78999999998</v>
      </c>
      <c r="H25" s="3">
        <f t="shared" si="12"/>
        <v>361529.48</v>
      </c>
      <c r="I25" s="3">
        <f t="shared" si="12"/>
        <v>228034.07</v>
      </c>
      <c r="J25" s="3">
        <f t="shared" si="12"/>
        <v>247158.27</v>
      </c>
      <c r="K25" s="3">
        <f t="shared" si="12"/>
        <v>219588.73</v>
      </c>
      <c r="L25" s="3">
        <f t="shared" si="12"/>
        <v>290817.95999999996</v>
      </c>
      <c r="M25" s="3">
        <f t="shared" si="12"/>
        <v>235929.35</v>
      </c>
      <c r="N25" s="3">
        <f t="shared" si="12"/>
        <v>3217026.5300000003</v>
      </c>
      <c r="O25" s="3">
        <f>+O26+O28</f>
        <v>0</v>
      </c>
      <c r="P25" s="3">
        <f>+P26+P28</f>
        <v>0</v>
      </c>
      <c r="Q25" s="3">
        <f>+N25-P25</f>
        <v>3217026.5300000003</v>
      </c>
      <c r="R25" s="4" t="e">
        <f t="shared" si="11"/>
        <v>#DIV/0!</v>
      </c>
    </row>
    <row r="26" spans="1:18" x14ac:dyDescent="0.25">
      <c r="A26" s="72" t="s">
        <v>153</v>
      </c>
      <c r="B26" s="14">
        <v>270328.31</v>
      </c>
      <c r="C26" s="14">
        <v>143847.42000000001</v>
      </c>
      <c r="D26" s="14">
        <v>159175.85999999999</v>
      </c>
      <c r="E26" s="14">
        <v>225589.65</v>
      </c>
      <c r="F26" s="14">
        <v>61078.45</v>
      </c>
      <c r="G26" s="14">
        <v>224117.25</v>
      </c>
      <c r="H26" s="14">
        <v>179412.94</v>
      </c>
      <c r="I26" s="14">
        <v>188657.77</v>
      </c>
      <c r="J26" s="14">
        <v>199377.59</v>
      </c>
      <c r="K26" s="14">
        <v>185591.38</v>
      </c>
      <c r="L26" s="14">
        <v>168622.62</v>
      </c>
      <c r="M26" s="14">
        <v>173800</v>
      </c>
      <c r="N26" s="15">
        <f>SUM(B26:M26)</f>
        <v>2179599.2400000002</v>
      </c>
      <c r="O26" s="14"/>
      <c r="P26" s="3">
        <f>+O26/12*$R$20</f>
        <v>0</v>
      </c>
      <c r="Q26" s="3">
        <f t="shared" si="9"/>
        <v>2179599.2400000002</v>
      </c>
      <c r="R26" s="4" t="e">
        <f t="shared" si="11"/>
        <v>#DIV/0!</v>
      </c>
    </row>
    <row r="27" spans="1:18" x14ac:dyDescent="0.25">
      <c r="A27" s="72" t="s">
        <v>154</v>
      </c>
      <c r="B27" s="14">
        <v>270328.31</v>
      </c>
      <c r="C27" s="14">
        <v>134317.25</v>
      </c>
      <c r="D27" s="14">
        <v>159175.85999999999</v>
      </c>
      <c r="E27" s="14">
        <v>216783.89</v>
      </c>
      <c r="F27" s="14">
        <v>61078.45</v>
      </c>
      <c r="G27" s="14">
        <v>224117.25</v>
      </c>
      <c r="H27" s="14">
        <v>179412.94</v>
      </c>
      <c r="I27" s="14">
        <v>188657.77</v>
      </c>
      <c r="J27" s="14">
        <v>192631.9</v>
      </c>
      <c r="K27" s="14">
        <v>179022.41</v>
      </c>
      <c r="L27" s="14">
        <v>168622.62</v>
      </c>
      <c r="M27" s="14">
        <v>173800</v>
      </c>
      <c r="N27" s="15">
        <f>SUM(B27:M27)</f>
        <v>2147948.6499999994</v>
      </c>
      <c r="O27" s="7"/>
      <c r="P27" s="3"/>
      <c r="Q27" s="3"/>
      <c r="R27" s="4"/>
    </row>
    <row r="28" spans="1:18" x14ac:dyDescent="0.25">
      <c r="A28" s="72" t="s">
        <v>74</v>
      </c>
      <c r="B28" s="14">
        <v>79252.77</v>
      </c>
      <c r="C28" s="14">
        <v>134622.49</v>
      </c>
      <c r="D28" s="14">
        <v>60445.24</v>
      </c>
      <c r="E28" s="14">
        <v>130136.78</v>
      </c>
      <c r="F28" s="14">
        <f>78425.06+9082.85</f>
        <v>87507.91</v>
      </c>
      <c r="G28" s="14">
        <v>57866.54</v>
      </c>
      <c r="H28" s="14">
        <v>182116.54</v>
      </c>
      <c r="I28" s="14">
        <v>39376.300000000003</v>
      </c>
      <c r="J28" s="14">
        <v>47780.68</v>
      </c>
      <c r="K28" s="14">
        <v>33997.35</v>
      </c>
      <c r="L28" s="14">
        <v>122195.34</v>
      </c>
      <c r="M28" s="14">
        <v>62129.35</v>
      </c>
      <c r="N28" s="15">
        <f>SUM(B28:M28)</f>
        <v>1037427.2900000002</v>
      </c>
      <c r="O28" s="14"/>
      <c r="P28" s="3">
        <f>+O28/12*$R$20</f>
        <v>0</v>
      </c>
      <c r="Q28" s="3">
        <f t="shared" si="9"/>
        <v>1037427.2900000002</v>
      </c>
      <c r="R28" s="4" t="e">
        <f>+N26/O26</f>
        <v>#DIV/0!</v>
      </c>
    </row>
    <row r="29" spans="1:18" x14ac:dyDescent="0.25">
      <c r="A29" s="73" t="s">
        <v>147</v>
      </c>
      <c r="B29" s="14">
        <v>33541.230000000003</v>
      </c>
      <c r="C29" s="14">
        <v>44923.89</v>
      </c>
      <c r="D29" s="14">
        <v>41703.42</v>
      </c>
      <c r="E29" s="14">
        <v>48548.639999999999</v>
      </c>
      <c r="F29" s="14">
        <v>50163.14</v>
      </c>
      <c r="G29" s="14">
        <v>56102.13</v>
      </c>
      <c r="H29" s="14">
        <v>48006.46</v>
      </c>
      <c r="I29" s="14">
        <v>61755.34</v>
      </c>
      <c r="J29" s="14">
        <v>53246.95</v>
      </c>
      <c r="K29" s="14">
        <v>73029.95</v>
      </c>
      <c r="L29" s="14">
        <v>54598.85</v>
      </c>
      <c r="M29" s="14">
        <v>59989.26</v>
      </c>
      <c r="N29" s="15">
        <f>SUM(B29:M29)</f>
        <v>625609.26</v>
      </c>
      <c r="O29" s="14"/>
      <c r="P29" s="3">
        <f>+O29/12*$R$20</f>
        <v>0</v>
      </c>
      <c r="Q29" s="3">
        <f t="shared" si="9"/>
        <v>625609.26</v>
      </c>
      <c r="R29" s="4" t="e">
        <f t="shared" si="11"/>
        <v>#DIV/0!</v>
      </c>
    </row>
    <row r="30" spans="1:18" x14ac:dyDescent="0.25">
      <c r="A30" s="73" t="s">
        <v>107</v>
      </c>
      <c r="B30" s="14"/>
      <c r="C30" s="14"/>
      <c r="D30" s="14"/>
      <c r="E30" s="14">
        <v>31263.72</v>
      </c>
      <c r="F30" s="14">
        <v>19660.3</v>
      </c>
      <c r="G30" s="14">
        <v>19631.7</v>
      </c>
      <c r="H30" s="14">
        <v>19629.8</v>
      </c>
      <c r="I30" s="14">
        <v>19401.66</v>
      </c>
      <c r="J30" s="14">
        <v>19401.66</v>
      </c>
      <c r="K30" s="14">
        <v>19400.689999999999</v>
      </c>
      <c r="L30" s="14">
        <v>19378.330000000002</v>
      </c>
      <c r="M30" s="14">
        <v>11816.18</v>
      </c>
      <c r="N30" s="15">
        <f>SUM(B30:M30)</f>
        <v>179584.03999999998</v>
      </c>
      <c r="O30" s="14"/>
      <c r="P30" s="3">
        <f>+O30/12*$R$20</f>
        <v>0</v>
      </c>
      <c r="Q30" s="3">
        <f t="shared" si="9"/>
        <v>179584.03999999998</v>
      </c>
      <c r="R30" s="4" t="e">
        <f t="shared" si="11"/>
        <v>#DIV/0!</v>
      </c>
    </row>
    <row r="31" spans="1:18" x14ac:dyDescent="0.25">
      <c r="A31" s="76" t="s">
        <v>23</v>
      </c>
      <c r="B31" s="5">
        <f>+B10-B22</f>
        <v>114476.39999999991</v>
      </c>
      <c r="C31" s="5">
        <f t="shared" ref="C31:N31" si="13">+C10-C22</f>
        <v>47550.520000000484</v>
      </c>
      <c r="D31" s="5">
        <f t="shared" si="13"/>
        <v>96317.37</v>
      </c>
      <c r="E31" s="5">
        <f t="shared" si="13"/>
        <v>-88381.75</v>
      </c>
      <c r="F31" s="5">
        <f t="shared" si="13"/>
        <v>103715.22999999998</v>
      </c>
      <c r="G31" s="5">
        <f t="shared" si="13"/>
        <v>374521.71000000008</v>
      </c>
      <c r="H31" s="5">
        <f t="shared" si="13"/>
        <v>156074.99000000022</v>
      </c>
      <c r="I31" s="5">
        <f t="shared" si="13"/>
        <v>132066.48999999964</v>
      </c>
      <c r="J31" s="5">
        <f t="shared" si="13"/>
        <v>32340.880000000005</v>
      </c>
      <c r="K31" s="5">
        <f t="shared" si="13"/>
        <v>273223.79000000027</v>
      </c>
      <c r="L31" s="5">
        <f t="shared" si="13"/>
        <v>-50146.26999999932</v>
      </c>
      <c r="M31" s="5">
        <f t="shared" si="13"/>
        <v>-36780.880000000121</v>
      </c>
      <c r="N31" s="5">
        <f t="shared" si="13"/>
        <v>1154978.4800000023</v>
      </c>
      <c r="O31" s="5">
        <f>+O10-O22</f>
        <v>0</v>
      </c>
      <c r="P31" s="5">
        <f>+P10-P22</f>
        <v>0</v>
      </c>
      <c r="Q31" s="5">
        <f>+N31-P31</f>
        <v>1154978.4800000023</v>
      </c>
      <c r="R31" s="2" t="e">
        <f>+N31/O31</f>
        <v>#DIV/0!</v>
      </c>
    </row>
    <row r="32" spans="1:18" x14ac:dyDescent="0.25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 t="e">
        <f t="shared" si="11"/>
        <v>#DIV/0!</v>
      </c>
    </row>
    <row r="33" spans="1:18" x14ac:dyDescent="0.25">
      <c r="A33" s="74" t="s">
        <v>25</v>
      </c>
      <c r="B33" s="14">
        <v>23062.2</v>
      </c>
      <c r="C33" s="14">
        <v>15827</v>
      </c>
      <c r="D33" s="14">
        <v>8964.9</v>
      </c>
      <c r="E33" s="14">
        <v>87109</v>
      </c>
      <c r="F33" s="14">
        <v>353910</v>
      </c>
      <c r="G33" s="14">
        <v>147850</v>
      </c>
      <c r="H33" s="14">
        <v>0</v>
      </c>
      <c r="I33" s="14">
        <v>111847.32</v>
      </c>
      <c r="J33" s="14">
        <f>6878.64+12222.67</f>
        <v>19101.310000000001</v>
      </c>
      <c r="K33" s="14">
        <v>223853.77</v>
      </c>
      <c r="L33" s="14">
        <v>0</v>
      </c>
      <c r="M33" s="14">
        <v>70919</v>
      </c>
      <c r="N33" s="3">
        <f>SUM(B33:M33)</f>
        <v>1062444.5</v>
      </c>
      <c r="O33" s="14"/>
      <c r="P33" s="3">
        <f>+O33/12*$R$20</f>
        <v>0</v>
      </c>
      <c r="Q33" s="3">
        <f>+N33-P33</f>
        <v>1062444.5</v>
      </c>
      <c r="R33" s="4" t="e">
        <f t="shared" si="11"/>
        <v>#DIV/0!</v>
      </c>
    </row>
    <row r="34" spans="1:18" x14ac:dyDescent="0.25">
      <c r="A34" s="76" t="s">
        <v>76</v>
      </c>
      <c r="B34" s="5">
        <f>+B31-B32-B33</f>
        <v>91414.19999999991</v>
      </c>
      <c r="C34" s="5">
        <f t="shared" ref="C34:N34" si="14">+C31-C32-C33</f>
        <v>31723.520000000484</v>
      </c>
      <c r="D34" s="5">
        <f t="shared" si="14"/>
        <v>87352.47</v>
      </c>
      <c r="E34" s="5">
        <f t="shared" si="14"/>
        <v>-175490.75</v>
      </c>
      <c r="F34" s="5">
        <f t="shared" si="14"/>
        <v>-250194.77000000002</v>
      </c>
      <c r="G34" s="5">
        <f t="shared" si="14"/>
        <v>226671.71000000008</v>
      </c>
      <c r="H34" s="5">
        <f t="shared" si="14"/>
        <v>156074.99000000022</v>
      </c>
      <c r="I34" s="5">
        <f t="shared" si="14"/>
        <v>20219.169999999634</v>
      </c>
      <c r="J34" s="5">
        <f t="shared" si="14"/>
        <v>13239.570000000003</v>
      </c>
      <c r="K34" s="5">
        <f t="shared" si="14"/>
        <v>49370.020000000281</v>
      </c>
      <c r="L34" s="5">
        <f t="shared" si="14"/>
        <v>-50146.26999999932</v>
      </c>
      <c r="M34" s="5">
        <f t="shared" si="14"/>
        <v>-107699.88000000012</v>
      </c>
      <c r="N34" s="5">
        <f t="shared" si="14"/>
        <v>92533.98000000231</v>
      </c>
      <c r="O34" s="5">
        <f>+O31-O32-O33</f>
        <v>0</v>
      </c>
      <c r="P34" s="5">
        <f t="shared" ref="P34" si="15">+P31-P32-P33</f>
        <v>0</v>
      </c>
      <c r="Q34" s="5">
        <f>+N34-P34</f>
        <v>92533.98000000231</v>
      </c>
      <c r="R34" s="2" t="e">
        <f t="shared" si="11"/>
        <v>#DIV/0!</v>
      </c>
    </row>
    <row r="35" spans="1:18" s="45" customFormat="1" x14ac:dyDescent="0.25">
      <c r="A35" s="77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75" x14ac:dyDescent="0.25">
      <c r="A37" s="69" t="s">
        <v>106</v>
      </c>
      <c r="B37" s="93">
        <v>49581.24</v>
      </c>
      <c r="C37" s="93">
        <v>26837.38</v>
      </c>
      <c r="D37" s="93">
        <v>51146.01</v>
      </c>
      <c r="E37" s="93">
        <v>63979.55</v>
      </c>
      <c r="F37" s="93">
        <v>76681.11</v>
      </c>
      <c r="G37" s="93">
        <v>78609.06</v>
      </c>
      <c r="H37" s="93">
        <v>261695.4</v>
      </c>
      <c r="I37" s="93">
        <v>363922.13</v>
      </c>
      <c r="J37" s="93">
        <v>735328.16</v>
      </c>
      <c r="K37" s="93">
        <v>495286.19</v>
      </c>
      <c r="L37" s="93">
        <v>377648.24</v>
      </c>
      <c r="M37" s="93">
        <v>312316.99</v>
      </c>
      <c r="N37" s="94"/>
      <c r="O37" s="95"/>
      <c r="P37" s="95"/>
      <c r="Q37" s="95"/>
      <c r="R37" s="96"/>
    </row>
    <row r="38" spans="1:18" ht="15.75" x14ac:dyDescent="0.25">
      <c r="A38" s="75" t="s">
        <v>108</v>
      </c>
      <c r="B38" s="14">
        <v>6649.35</v>
      </c>
      <c r="C38" s="14">
        <v>9944.89</v>
      </c>
      <c r="D38" s="14">
        <v>14484.39</v>
      </c>
      <c r="E38" s="14">
        <v>4640.25</v>
      </c>
      <c r="F38" s="14">
        <v>4470.79</v>
      </c>
      <c r="G38" s="14">
        <v>4107.8</v>
      </c>
      <c r="H38" s="14">
        <v>5063.78</v>
      </c>
      <c r="I38" s="14">
        <v>5099.51</v>
      </c>
      <c r="J38" s="14">
        <v>3700.35</v>
      </c>
      <c r="K38" s="14">
        <v>10406.57</v>
      </c>
      <c r="L38" s="14">
        <v>31313.84</v>
      </c>
      <c r="M38" s="14">
        <v>10033.64</v>
      </c>
      <c r="N38" s="3">
        <f>SUM(B38:M38)</f>
        <v>109915.15999999999</v>
      </c>
      <c r="O38" s="14"/>
      <c r="P38" s="3">
        <f>+O38/12*$R$20</f>
        <v>0</v>
      </c>
      <c r="Q38" s="3">
        <f t="shared" ref="Q38:Q39" si="16">+N38-P38</f>
        <v>109915.15999999999</v>
      </c>
      <c r="R38" s="4" t="e">
        <f t="shared" ref="R38:R39" si="17">+N37/O37</f>
        <v>#DIV/0!</v>
      </c>
    </row>
    <row r="39" spans="1:18" ht="15.75" x14ac:dyDescent="0.25">
      <c r="A39" s="97" t="s">
        <v>109</v>
      </c>
      <c r="B39" s="98">
        <v>33541.230000000003</v>
      </c>
      <c r="C39" s="98">
        <v>44923.89</v>
      </c>
      <c r="D39" s="98">
        <v>41703.42</v>
      </c>
      <c r="E39" s="98">
        <v>48548.639999999999</v>
      </c>
      <c r="F39" s="98">
        <v>50163.14</v>
      </c>
      <c r="G39" s="98">
        <v>56102.13</v>
      </c>
      <c r="H39" s="98">
        <v>48006.46</v>
      </c>
      <c r="I39" s="98">
        <v>61755.34</v>
      </c>
      <c r="J39" s="98">
        <v>53246.95</v>
      </c>
      <c r="K39" s="98">
        <v>73029.95</v>
      </c>
      <c r="L39" s="98">
        <v>54598.85</v>
      </c>
      <c r="M39" s="98">
        <v>59989.26</v>
      </c>
      <c r="N39" s="99">
        <f>SUM(B39:M39)</f>
        <v>625609.26</v>
      </c>
      <c r="O39" s="98"/>
      <c r="P39" s="99">
        <f>+O39/12*$R$20</f>
        <v>0</v>
      </c>
      <c r="Q39" s="99">
        <f t="shared" si="16"/>
        <v>625609.26</v>
      </c>
      <c r="R39" s="100" t="e">
        <f t="shared" si="17"/>
        <v>#DIV/0!</v>
      </c>
    </row>
    <row r="40" spans="1:18" x14ac:dyDescent="0.25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75" x14ac:dyDescent="0.25">
      <c r="A41" s="69" t="s">
        <v>27</v>
      </c>
      <c r="B41" s="1">
        <f>+B42+B43+B44</f>
        <v>95390</v>
      </c>
      <c r="C41" s="1">
        <f t="shared" ref="C41:N41" si="18">+C42+C43+C44</f>
        <v>85015</v>
      </c>
      <c r="D41" s="1">
        <f t="shared" si="18"/>
        <v>93732</v>
      </c>
      <c r="E41" s="1">
        <f t="shared" si="18"/>
        <v>85554</v>
      </c>
      <c r="F41" s="1">
        <f t="shared" si="18"/>
        <v>96163</v>
      </c>
      <c r="G41" s="1">
        <f t="shared" si="18"/>
        <v>93563</v>
      </c>
      <c r="H41" s="1">
        <f t="shared" si="18"/>
        <v>99632</v>
      </c>
      <c r="I41" s="1">
        <f t="shared" si="18"/>
        <v>99976</v>
      </c>
      <c r="J41" s="1">
        <f t="shared" si="18"/>
        <v>95466</v>
      </c>
      <c r="K41" s="1">
        <f t="shared" si="18"/>
        <v>89143</v>
      </c>
      <c r="L41" s="1">
        <f t="shared" si="18"/>
        <v>88992</v>
      </c>
      <c r="M41" s="1">
        <f t="shared" si="18"/>
        <v>90626</v>
      </c>
      <c r="N41" s="1">
        <f t="shared" si="18"/>
        <v>1113252</v>
      </c>
      <c r="O41" s="36"/>
      <c r="P41" s="36"/>
      <c r="Q41" s="36"/>
      <c r="R41" s="37"/>
    </row>
    <row r="42" spans="1:18" x14ac:dyDescent="0.25">
      <c r="A42" s="74" t="s">
        <v>28</v>
      </c>
      <c r="B42" s="14">
        <v>95390</v>
      </c>
      <c r="C42" s="14">
        <v>85015</v>
      </c>
      <c r="D42" s="14">
        <v>93732</v>
      </c>
      <c r="E42" s="14">
        <v>85554</v>
      </c>
      <c r="F42" s="14">
        <v>96163</v>
      </c>
      <c r="G42" s="14">
        <v>93563</v>
      </c>
      <c r="H42" s="14">
        <v>99632</v>
      </c>
      <c r="I42" s="14">
        <v>99976</v>
      </c>
      <c r="J42" s="14">
        <v>95466</v>
      </c>
      <c r="K42" s="14">
        <v>89143</v>
      </c>
      <c r="L42" s="14">
        <v>88992</v>
      </c>
      <c r="M42" s="14">
        <v>90626</v>
      </c>
      <c r="N42" s="3">
        <f>SUM(B42:M42)</f>
        <v>1113252</v>
      </c>
      <c r="O42" s="7"/>
      <c r="P42" s="7"/>
      <c r="Q42" s="7"/>
      <c r="R42" s="38"/>
    </row>
    <row r="43" spans="1:18" x14ac:dyDescent="0.25">
      <c r="A43" s="7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25">
      <c r="A44" s="74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3">
        <f>SUM(B44:M44)</f>
        <v>0</v>
      </c>
      <c r="O44" s="7"/>
      <c r="P44" s="7"/>
      <c r="Q44" s="7"/>
      <c r="R44" s="38"/>
    </row>
    <row r="45" spans="1:18" x14ac:dyDescent="0.25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>
        <v>23749</v>
      </c>
      <c r="C47" s="14">
        <v>22351</v>
      </c>
      <c r="D47" s="14">
        <v>24203</v>
      </c>
      <c r="E47" s="14">
        <v>27587</v>
      </c>
      <c r="F47" s="14">
        <v>26713</v>
      </c>
      <c r="G47" s="14">
        <v>23313</v>
      </c>
      <c r="H47" s="14">
        <v>28740</v>
      </c>
      <c r="I47" s="14">
        <v>26405</v>
      </c>
      <c r="J47" s="14">
        <v>26053</v>
      </c>
      <c r="K47" s="14">
        <v>20149</v>
      </c>
      <c r="L47" s="14">
        <v>36672</v>
      </c>
      <c r="M47" s="14">
        <v>25512</v>
      </c>
      <c r="N47" s="3">
        <f>SUM(B47:M47)</f>
        <v>311447</v>
      </c>
      <c r="O47" s="7"/>
      <c r="P47" s="7"/>
      <c r="Q47" s="7"/>
      <c r="R47" s="38"/>
    </row>
    <row r="48" spans="1:18" x14ac:dyDescent="0.25">
      <c r="A48" t="s">
        <v>69</v>
      </c>
      <c r="B48" s="14">
        <v>53377</v>
      </c>
      <c r="C48" s="14">
        <v>46294</v>
      </c>
      <c r="D48" s="14">
        <v>52866</v>
      </c>
      <c r="E48" s="14">
        <v>59160</v>
      </c>
      <c r="F48" s="14">
        <v>63920</v>
      </c>
      <c r="G48" s="14">
        <v>64641</v>
      </c>
      <c r="H48" s="14">
        <v>63672</v>
      </c>
      <c r="I48" s="14">
        <v>66145</v>
      </c>
      <c r="J48" s="14">
        <v>62777</v>
      </c>
      <c r="K48" s="14">
        <v>68994</v>
      </c>
      <c r="L48" s="14">
        <v>52320</v>
      </c>
      <c r="M48" s="14">
        <v>51683</v>
      </c>
      <c r="N48" s="3">
        <f>SUM(B48:M48)</f>
        <v>705849</v>
      </c>
      <c r="O48" s="7"/>
      <c r="P48" s="7"/>
      <c r="Q48" s="7"/>
      <c r="R48" s="38"/>
    </row>
    <row r="49" spans="1:18" x14ac:dyDescent="0.25">
      <c r="A49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">
        <f>SUM(B49:M49)</f>
        <v>0</v>
      </c>
      <c r="O49" s="7"/>
      <c r="P49" s="7"/>
      <c r="Q49" s="7"/>
      <c r="R49" s="38"/>
    </row>
    <row r="50" spans="1:18" x14ac:dyDescent="0.25">
      <c r="A50" s="80" t="s">
        <v>71</v>
      </c>
      <c r="B50" s="3">
        <f>SUM(B47:B49)</f>
        <v>77126</v>
      </c>
      <c r="C50" s="3">
        <f t="shared" ref="C50:M50" si="19">SUM(C47:C49)</f>
        <v>68645</v>
      </c>
      <c r="D50" s="3">
        <f t="shared" si="19"/>
        <v>77069</v>
      </c>
      <c r="E50" s="3">
        <f t="shared" si="19"/>
        <v>86747</v>
      </c>
      <c r="F50" s="3">
        <f t="shared" si="19"/>
        <v>90633</v>
      </c>
      <c r="G50" s="3">
        <f t="shared" si="19"/>
        <v>87954</v>
      </c>
      <c r="H50" s="3">
        <f t="shared" si="19"/>
        <v>92412</v>
      </c>
      <c r="I50" s="3">
        <f t="shared" si="19"/>
        <v>92550</v>
      </c>
      <c r="J50" s="3">
        <f t="shared" si="19"/>
        <v>88830</v>
      </c>
      <c r="K50" s="3">
        <f t="shared" si="19"/>
        <v>89143</v>
      </c>
      <c r="L50" s="3">
        <f t="shared" si="19"/>
        <v>88992</v>
      </c>
      <c r="M50" s="3">
        <f t="shared" si="19"/>
        <v>77195</v>
      </c>
      <c r="N50" s="3">
        <f>SUM(N47:N49)</f>
        <v>1017296</v>
      </c>
      <c r="O50" s="7"/>
      <c r="P50" s="7"/>
      <c r="Q50" s="7"/>
      <c r="R50" s="38"/>
    </row>
    <row r="51" spans="1:18" x14ac:dyDescent="0.25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75" t="s">
        <v>31</v>
      </c>
      <c r="B52" s="14">
        <v>167907.7</v>
      </c>
      <c r="C52" s="16">
        <v>152462.79999999999</v>
      </c>
      <c r="D52" s="16">
        <v>168869.89999999997</v>
      </c>
      <c r="E52" s="16">
        <v>153857.30000000005</v>
      </c>
      <c r="F52" s="16">
        <v>164259.19999999995</v>
      </c>
      <c r="G52" s="16">
        <v>169783.6</v>
      </c>
      <c r="H52" s="16">
        <v>174410.59999999998</v>
      </c>
      <c r="I52" s="16">
        <v>163867.5</v>
      </c>
      <c r="J52" s="16">
        <v>166811.40000000002</v>
      </c>
      <c r="K52" s="16">
        <v>152975</v>
      </c>
      <c r="L52" s="16">
        <v>151832.1</v>
      </c>
      <c r="M52" s="16">
        <v>143224.10000000009</v>
      </c>
      <c r="N52" s="5">
        <f>SUM(B52:M52)</f>
        <v>1930261.2000000002</v>
      </c>
      <c r="O52" s="41"/>
      <c r="P52" s="41"/>
      <c r="Q52" s="41"/>
      <c r="R52" s="43"/>
    </row>
    <row r="53" spans="1:18" x14ac:dyDescent="0.25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75" t="s">
        <v>77</v>
      </c>
      <c r="B54" s="5">
        <f>+B55+B56+B57+B58+B59</f>
        <v>61720</v>
      </c>
      <c r="C54" s="5">
        <f t="shared" ref="C54:N54" si="20">+C55+C56+C57+C58+C59</f>
        <v>55563</v>
      </c>
      <c r="D54" s="5">
        <f t="shared" si="20"/>
        <v>54092</v>
      </c>
      <c r="E54" s="5">
        <f t="shared" si="20"/>
        <v>56534</v>
      </c>
      <c r="F54" s="5">
        <f t="shared" si="20"/>
        <v>63986</v>
      </c>
      <c r="G54" s="5">
        <f t="shared" si="20"/>
        <v>66931</v>
      </c>
      <c r="H54" s="5">
        <f t="shared" si="20"/>
        <v>72537</v>
      </c>
      <c r="I54" s="5">
        <f t="shared" si="20"/>
        <v>65855</v>
      </c>
      <c r="J54" s="5">
        <f t="shared" si="20"/>
        <v>62608</v>
      </c>
      <c r="K54" s="5">
        <f t="shared" si="20"/>
        <v>61172</v>
      </c>
      <c r="L54" s="5">
        <f t="shared" si="20"/>
        <v>61171</v>
      </c>
      <c r="M54" s="5">
        <f t="shared" si="20"/>
        <v>63048</v>
      </c>
      <c r="N54" s="5">
        <f t="shared" si="20"/>
        <v>745217</v>
      </c>
      <c r="O54" s="41"/>
      <c r="P54" s="41"/>
      <c r="Q54" s="41"/>
      <c r="R54" s="43"/>
    </row>
    <row r="55" spans="1:18" x14ac:dyDescent="0.25">
      <c r="A55" s="74" t="s">
        <v>112</v>
      </c>
      <c r="B55" s="14">
        <v>52753</v>
      </c>
      <c r="C55" s="14">
        <v>46939</v>
      </c>
      <c r="D55" s="14">
        <v>46058</v>
      </c>
      <c r="E55" s="14">
        <f>45693+2190</f>
        <v>47883</v>
      </c>
      <c r="F55" s="14">
        <f>52722+1920</f>
        <v>54642</v>
      </c>
      <c r="G55" s="14">
        <f>53595+1920</f>
        <v>55515</v>
      </c>
      <c r="H55" s="14">
        <f>58056+1920</f>
        <v>59976</v>
      </c>
      <c r="I55" s="14">
        <f>54268+1890</f>
        <v>56158</v>
      </c>
      <c r="J55" s="14">
        <v>52946</v>
      </c>
      <c r="K55" s="14">
        <v>52232</v>
      </c>
      <c r="L55" s="14">
        <v>53320</v>
      </c>
      <c r="M55" s="14">
        <f>52241+1800</f>
        <v>54041</v>
      </c>
      <c r="N55" s="3">
        <f>SUM(B55:M55)</f>
        <v>632463</v>
      </c>
      <c r="O55" s="7"/>
      <c r="P55" s="7"/>
      <c r="Q55" s="7"/>
      <c r="R55" s="38"/>
    </row>
    <row r="56" spans="1:18" x14ac:dyDescent="0.25">
      <c r="A56" s="74" t="s">
        <v>113</v>
      </c>
      <c r="B56" s="14">
        <v>3490</v>
      </c>
      <c r="C56" s="14">
        <v>3715</v>
      </c>
      <c r="D56" s="14">
        <v>3269</v>
      </c>
      <c r="E56" s="14">
        <v>3426</v>
      </c>
      <c r="F56" s="14">
        <v>3486</v>
      </c>
      <c r="G56" s="14">
        <v>3951</v>
      </c>
      <c r="H56" s="14">
        <v>4033</v>
      </c>
      <c r="I56" s="14">
        <v>4209</v>
      </c>
      <c r="J56" s="14">
        <v>4351</v>
      </c>
      <c r="K56" s="14">
        <v>4216</v>
      </c>
      <c r="L56" s="14">
        <v>3507</v>
      </c>
      <c r="M56" s="14">
        <v>3702</v>
      </c>
      <c r="N56" s="3">
        <f>SUM(B56:M56)</f>
        <v>45355</v>
      </c>
      <c r="O56" s="7"/>
      <c r="P56" s="7"/>
      <c r="Q56" s="7"/>
      <c r="R56" s="38"/>
    </row>
    <row r="57" spans="1:18" x14ac:dyDescent="0.25">
      <c r="A57" s="74" t="s">
        <v>114</v>
      </c>
      <c r="B57" s="14">
        <v>1030</v>
      </c>
      <c r="C57" s="14">
        <v>893</v>
      </c>
      <c r="D57" s="14">
        <v>916</v>
      </c>
      <c r="E57" s="14">
        <f>1125+30</f>
        <v>1155</v>
      </c>
      <c r="F57" s="14">
        <f>992+30</f>
        <v>1022</v>
      </c>
      <c r="G57" s="14">
        <f>1070+30</f>
        <v>1100</v>
      </c>
      <c r="H57" s="14">
        <v>1234</v>
      </c>
      <c r="I57" s="14">
        <v>1130</v>
      </c>
      <c r="J57" s="14">
        <v>1225</v>
      </c>
      <c r="K57" s="14">
        <v>983</v>
      </c>
      <c r="L57" s="14">
        <v>853</v>
      </c>
      <c r="M57" s="14">
        <v>739</v>
      </c>
      <c r="N57" s="3">
        <f>SUM(B57:M57)</f>
        <v>12280</v>
      </c>
      <c r="O57" s="7"/>
      <c r="P57" s="7"/>
      <c r="Q57" s="7"/>
      <c r="R57" s="38"/>
    </row>
    <row r="58" spans="1:18" x14ac:dyDescent="0.25">
      <c r="A58" s="74" t="s">
        <v>115</v>
      </c>
      <c r="B58" s="14">
        <v>2050</v>
      </c>
      <c r="C58" s="14">
        <v>1869</v>
      </c>
      <c r="D58" s="14">
        <v>1992</v>
      </c>
      <c r="E58" s="14">
        <v>1303</v>
      </c>
      <c r="F58" s="14">
        <v>1326</v>
      </c>
      <c r="G58" s="14">
        <v>1124</v>
      </c>
      <c r="H58" s="14">
        <v>1702</v>
      </c>
      <c r="I58" s="14">
        <v>487</v>
      </c>
      <c r="J58" s="14">
        <v>994</v>
      </c>
      <c r="K58" s="14">
        <v>1504</v>
      </c>
      <c r="L58" s="14">
        <v>1403</v>
      </c>
      <c r="M58" s="14">
        <v>1323</v>
      </c>
      <c r="N58" s="3">
        <f>SUM(B58:M58)</f>
        <v>17077</v>
      </c>
      <c r="O58" s="7"/>
      <c r="P58" s="7"/>
      <c r="Q58" s="7"/>
      <c r="R58" s="38"/>
    </row>
    <row r="59" spans="1:18" x14ac:dyDescent="0.25">
      <c r="A59" s="74" t="s">
        <v>116</v>
      </c>
      <c r="B59" s="14">
        <v>2397</v>
      </c>
      <c r="C59" s="14">
        <v>2147</v>
      </c>
      <c r="D59" s="14">
        <v>1857</v>
      </c>
      <c r="E59" s="14">
        <f>2377+390</f>
        <v>2767</v>
      </c>
      <c r="F59" s="14">
        <f>3120+390</f>
        <v>3510</v>
      </c>
      <c r="G59" s="14">
        <f>4851+390</f>
        <v>5241</v>
      </c>
      <c r="H59" s="14">
        <f>5202+390</f>
        <v>5592</v>
      </c>
      <c r="I59" s="14">
        <f>3481+390</f>
        <v>3871</v>
      </c>
      <c r="J59" s="14">
        <v>3092</v>
      </c>
      <c r="K59" s="14">
        <v>2237</v>
      </c>
      <c r="L59" s="14">
        <v>2088</v>
      </c>
      <c r="M59" s="14">
        <f>2853+390</f>
        <v>3243</v>
      </c>
      <c r="N59" s="3">
        <f>SUM(B59:M59)</f>
        <v>38042</v>
      </c>
      <c r="O59" s="7"/>
      <c r="P59" s="7"/>
      <c r="Q59" s="7"/>
      <c r="R59" s="38"/>
    </row>
    <row r="60" spans="1:18" x14ac:dyDescent="0.25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75" t="s">
        <v>32</v>
      </c>
      <c r="B61" s="5">
        <f>+B62+B63</f>
        <v>54217</v>
      </c>
      <c r="C61" s="5">
        <f t="shared" ref="C61:N61" si="21">+C62+C63</f>
        <v>43293</v>
      </c>
      <c r="D61" s="5">
        <f t="shared" si="21"/>
        <v>46865</v>
      </c>
      <c r="E61" s="5">
        <f t="shared" si="21"/>
        <v>49660</v>
      </c>
      <c r="F61" s="5">
        <f t="shared" si="21"/>
        <v>55609</v>
      </c>
      <c r="G61" s="5">
        <f t="shared" si="21"/>
        <v>48243</v>
      </c>
      <c r="H61" s="5">
        <f t="shared" si="21"/>
        <v>62100</v>
      </c>
      <c r="I61" s="5">
        <f t="shared" si="21"/>
        <v>51417</v>
      </c>
      <c r="J61" s="5">
        <f t="shared" si="21"/>
        <v>45091</v>
      </c>
      <c r="K61" s="5">
        <f t="shared" si="21"/>
        <v>50909</v>
      </c>
      <c r="L61" s="5">
        <f t="shared" si="21"/>
        <v>52432</v>
      </c>
      <c r="M61" s="5">
        <f t="shared" si="21"/>
        <v>48517</v>
      </c>
      <c r="N61" s="5">
        <f t="shared" si="21"/>
        <v>608353</v>
      </c>
      <c r="O61" s="41"/>
      <c r="P61" s="41"/>
      <c r="Q61" s="41"/>
      <c r="R61" s="43"/>
    </row>
    <row r="62" spans="1:18" x14ac:dyDescent="0.25">
      <c r="A62" s="74" t="s">
        <v>117</v>
      </c>
      <c r="B62" s="14">
        <v>48784</v>
      </c>
      <c r="C62" s="14">
        <v>39720</v>
      </c>
      <c r="D62" s="14">
        <v>42191</v>
      </c>
      <c r="E62" s="14">
        <v>45667</v>
      </c>
      <c r="F62" s="14">
        <v>50372</v>
      </c>
      <c r="G62" s="14">
        <v>43437</v>
      </c>
      <c r="H62" s="14">
        <v>57567</v>
      </c>
      <c r="I62" s="14">
        <v>47067</v>
      </c>
      <c r="J62" s="14">
        <v>41010</v>
      </c>
      <c r="K62" s="14">
        <v>44514</v>
      </c>
      <c r="L62" s="14">
        <v>46296</v>
      </c>
      <c r="M62" s="14">
        <v>44065</v>
      </c>
      <c r="N62" s="3">
        <f>SUM(B62:M62)</f>
        <v>550690</v>
      </c>
      <c r="O62" s="7"/>
      <c r="P62" s="7"/>
      <c r="Q62" s="7"/>
      <c r="R62" s="38"/>
    </row>
    <row r="63" spans="1:18" x14ac:dyDescent="0.25">
      <c r="A63" s="74" t="s">
        <v>118</v>
      </c>
      <c r="B63" s="14">
        <v>5433</v>
      </c>
      <c r="C63" s="14">
        <v>3573</v>
      </c>
      <c r="D63" s="14">
        <v>4674</v>
      </c>
      <c r="E63" s="14">
        <v>3993</v>
      </c>
      <c r="F63" s="14">
        <v>5237</v>
      </c>
      <c r="G63" s="14">
        <v>4806</v>
      </c>
      <c r="H63" s="14">
        <v>4533</v>
      </c>
      <c r="I63" s="14">
        <v>4350</v>
      </c>
      <c r="J63" s="14">
        <v>4081</v>
      </c>
      <c r="K63" s="14">
        <v>6395</v>
      </c>
      <c r="L63" s="14">
        <v>6136</v>
      </c>
      <c r="M63" s="14">
        <v>4452</v>
      </c>
      <c r="N63" s="3">
        <f>SUM(B63:M63)</f>
        <v>57663</v>
      </c>
      <c r="O63" s="7"/>
      <c r="P63" s="7"/>
      <c r="Q63" s="7"/>
      <c r="R63" s="38"/>
    </row>
    <row r="64" spans="1:18" x14ac:dyDescent="0.25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75" t="s">
        <v>156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>
        <f>SUM(B65:M65)</f>
        <v>0</v>
      </c>
      <c r="O65" s="41"/>
      <c r="P65" s="41"/>
      <c r="Q65" s="41"/>
      <c r="R65" s="43"/>
    </row>
    <row r="66" spans="1:18" ht="15.75" x14ac:dyDescent="0.25">
      <c r="A66" s="75" t="s">
        <v>157</v>
      </c>
      <c r="B66" s="16">
        <v>137709.4000000002</v>
      </c>
      <c r="C66" s="16">
        <v>121307.51999999993</v>
      </c>
      <c r="D66" s="16">
        <v>127579.32000000021</v>
      </c>
      <c r="E66" s="16">
        <v>100727.16999999993</v>
      </c>
      <c r="F66" s="16">
        <v>133816.57999999978</v>
      </c>
      <c r="G66" s="16">
        <v>122097.28000000026</v>
      </c>
      <c r="H66" s="16">
        <v>156977.06000000006</v>
      </c>
      <c r="I66" s="16">
        <v>147500.21999999983</v>
      </c>
      <c r="J66" s="16">
        <v>90421.25</v>
      </c>
      <c r="K66" s="16">
        <v>110755.36000000015</v>
      </c>
      <c r="L66" s="16">
        <v>137517.52000000002</v>
      </c>
      <c r="M66" s="16">
        <v>127159.24999999962</v>
      </c>
      <c r="N66" s="5">
        <f>SUM(B66:M66)</f>
        <v>1513567.93</v>
      </c>
      <c r="O66" s="41"/>
      <c r="P66" s="41"/>
      <c r="Q66" s="41"/>
      <c r="R66" s="43"/>
    </row>
    <row r="67" spans="1:18" x14ac:dyDescent="0.25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75" t="s">
        <v>78</v>
      </c>
      <c r="B68" s="5">
        <f>+B69+B70+B71+B72+B73</f>
        <v>1126633.8999999999</v>
      </c>
      <c r="C68" s="5">
        <f t="shared" ref="C68:N68" si="22">+C69+C70+C71+C72+C73</f>
        <v>1107903.45</v>
      </c>
      <c r="D68" s="5">
        <f t="shared" si="22"/>
        <v>1100128.8800000001</v>
      </c>
      <c r="E68" s="5">
        <f t="shared" si="22"/>
        <v>1111357.6199999999</v>
      </c>
      <c r="F68" s="5">
        <f t="shared" si="22"/>
        <v>1176669.8400000001</v>
      </c>
      <c r="G68" s="5">
        <f t="shared" si="22"/>
        <v>1229205.5900000003</v>
      </c>
      <c r="H68" s="5">
        <f t="shared" si="22"/>
        <v>1302954.42</v>
      </c>
      <c r="I68" s="5">
        <f t="shared" si="22"/>
        <v>1234942.7</v>
      </c>
      <c r="J68" s="5">
        <f t="shared" si="22"/>
        <v>1246822.9499999997</v>
      </c>
      <c r="K68" s="5">
        <f t="shared" si="22"/>
        <v>1211958.24</v>
      </c>
      <c r="L68" s="5">
        <f t="shared" si="22"/>
        <v>1208666.05</v>
      </c>
      <c r="M68" s="5">
        <f t="shared" si="22"/>
        <v>1234759.0199999998</v>
      </c>
      <c r="N68" s="5">
        <f t="shared" si="22"/>
        <v>14292002.659999996</v>
      </c>
      <c r="O68" s="41"/>
      <c r="P68" s="41"/>
      <c r="Q68" s="41"/>
      <c r="R68" s="43"/>
    </row>
    <row r="69" spans="1:18" x14ac:dyDescent="0.25">
      <c r="A69" s="74" t="s">
        <v>119</v>
      </c>
      <c r="B69" s="14">
        <v>919952.31</v>
      </c>
      <c r="C69" s="14">
        <v>897559.69</v>
      </c>
      <c r="D69" s="14">
        <v>898819.1</v>
      </c>
      <c r="E69" s="14">
        <v>898475.79</v>
      </c>
      <c r="F69" s="14">
        <v>953113.45</v>
      </c>
      <c r="G69" s="14">
        <v>964362.87</v>
      </c>
      <c r="H69" s="14">
        <v>1007864.97</v>
      </c>
      <c r="I69" s="14">
        <v>993819.35</v>
      </c>
      <c r="J69" s="14">
        <v>994306.7</v>
      </c>
      <c r="K69" s="14">
        <v>984507.49</v>
      </c>
      <c r="L69" s="14">
        <v>1006981.29</v>
      </c>
      <c r="M69" s="14">
        <v>1011459.01</v>
      </c>
      <c r="N69" s="3">
        <f>SUM(B69:M69)</f>
        <v>11531222.019999998</v>
      </c>
      <c r="O69" s="7"/>
      <c r="P69" s="7"/>
      <c r="Q69" s="7"/>
      <c r="R69" s="38"/>
    </row>
    <row r="70" spans="1:18" x14ac:dyDescent="0.25">
      <c r="A70" s="74" t="s">
        <v>120</v>
      </c>
      <c r="B70" s="14">
        <v>97849.27</v>
      </c>
      <c r="C70" s="14">
        <v>106097.45</v>
      </c>
      <c r="D70" s="14">
        <v>95897.99</v>
      </c>
      <c r="E70" s="14">
        <v>97604.66</v>
      </c>
      <c r="F70" s="14">
        <v>97643.89</v>
      </c>
      <c r="G70" s="14">
        <v>102518.73</v>
      </c>
      <c r="H70" s="14">
        <v>103829.95</v>
      </c>
      <c r="I70" s="14">
        <v>114248.25</v>
      </c>
      <c r="J70" s="14">
        <v>123930.09</v>
      </c>
      <c r="K70" s="14">
        <v>118214.66</v>
      </c>
      <c r="L70" s="14">
        <v>100516.2</v>
      </c>
      <c r="M70" s="14">
        <v>108914.94</v>
      </c>
      <c r="N70" s="3">
        <f>SUM(B70:M70)</f>
        <v>1267266.0799999998</v>
      </c>
      <c r="O70" s="7"/>
      <c r="P70" s="7"/>
      <c r="Q70" s="7"/>
      <c r="R70" s="38"/>
    </row>
    <row r="71" spans="1:18" x14ac:dyDescent="0.25">
      <c r="A71" s="74" t="s">
        <v>121</v>
      </c>
      <c r="B71" s="14">
        <v>33694.910000000003</v>
      </c>
      <c r="C71" s="14">
        <v>32857.25</v>
      </c>
      <c r="D71" s="14">
        <v>33877.78</v>
      </c>
      <c r="E71" s="14">
        <v>42713.82</v>
      </c>
      <c r="F71" s="14">
        <v>37013.620000000003</v>
      </c>
      <c r="G71" s="14">
        <v>37757.35</v>
      </c>
      <c r="H71" s="14">
        <v>48509.49</v>
      </c>
      <c r="I71" s="14">
        <v>40017.43</v>
      </c>
      <c r="J71" s="14">
        <v>44350.13</v>
      </c>
      <c r="K71" s="14">
        <v>38806.03</v>
      </c>
      <c r="L71" s="14">
        <v>34886.480000000003</v>
      </c>
      <c r="M71" s="14">
        <v>30298.639999999999</v>
      </c>
      <c r="N71" s="3">
        <f>SUM(B71:M71)</f>
        <v>454782.93000000005</v>
      </c>
      <c r="O71" s="7"/>
      <c r="P71" s="7"/>
      <c r="Q71" s="7"/>
      <c r="R71" s="38"/>
    </row>
    <row r="72" spans="1:18" x14ac:dyDescent="0.25">
      <c r="A72" s="74" t="s">
        <v>122</v>
      </c>
      <c r="B72" s="14">
        <v>32129.43</v>
      </c>
      <c r="C72" s="14">
        <v>28130.71</v>
      </c>
      <c r="D72" s="14">
        <v>30543.18</v>
      </c>
      <c r="E72" s="14">
        <v>20325.38</v>
      </c>
      <c r="F72" s="14">
        <v>20431.28</v>
      </c>
      <c r="G72" s="14">
        <v>15644.33</v>
      </c>
      <c r="H72" s="14">
        <v>25479.11</v>
      </c>
      <c r="I72" s="14">
        <v>7742.45</v>
      </c>
      <c r="J72" s="14">
        <v>14485.91</v>
      </c>
      <c r="K72" s="14">
        <v>21801.56</v>
      </c>
      <c r="L72" s="14">
        <v>21641.29</v>
      </c>
      <c r="M72" s="14">
        <v>19911.22</v>
      </c>
      <c r="N72" s="3">
        <f>SUM(B72:M72)</f>
        <v>258265.85</v>
      </c>
      <c r="O72" s="7"/>
      <c r="P72" s="7"/>
      <c r="Q72" s="7"/>
      <c r="R72" s="38"/>
    </row>
    <row r="73" spans="1:18" x14ac:dyDescent="0.25">
      <c r="A73" s="74" t="s">
        <v>123</v>
      </c>
      <c r="B73" s="14">
        <v>43007.98</v>
      </c>
      <c r="C73" s="14">
        <v>43258.35</v>
      </c>
      <c r="D73" s="14">
        <v>40990.83</v>
      </c>
      <c r="E73" s="14">
        <v>52237.97</v>
      </c>
      <c r="F73" s="14">
        <v>68467.600000000006</v>
      </c>
      <c r="G73" s="14">
        <v>108922.31</v>
      </c>
      <c r="H73" s="14">
        <v>117270.9</v>
      </c>
      <c r="I73" s="14">
        <v>79115.22</v>
      </c>
      <c r="J73" s="14">
        <v>69750.12</v>
      </c>
      <c r="K73" s="14">
        <v>48628.5</v>
      </c>
      <c r="L73" s="14">
        <v>44640.79</v>
      </c>
      <c r="M73" s="14">
        <v>64175.21</v>
      </c>
      <c r="N73" s="3">
        <f>SUM(B73:M73)</f>
        <v>780465.78</v>
      </c>
      <c r="O73" s="7"/>
      <c r="P73" s="7"/>
      <c r="Q73" s="7"/>
      <c r="R73" s="38"/>
    </row>
    <row r="74" spans="1:18" x14ac:dyDescent="0.25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75" t="s">
        <v>83</v>
      </c>
      <c r="B75" s="5">
        <f t="shared" ref="B75:M75" si="23">SUM(B76:B80)</f>
        <v>1026270.49</v>
      </c>
      <c r="C75" s="5">
        <f t="shared" si="23"/>
        <v>809872.3899999999</v>
      </c>
      <c r="D75" s="5">
        <f t="shared" si="23"/>
        <v>934047.72</v>
      </c>
      <c r="E75" s="5">
        <f t="shared" si="23"/>
        <v>948788.06</v>
      </c>
      <c r="F75" s="5">
        <f t="shared" si="23"/>
        <v>1062342.04</v>
      </c>
      <c r="G75" s="5">
        <f t="shared" si="23"/>
        <v>917359.2699999999</v>
      </c>
      <c r="H75" s="5">
        <f t="shared" si="23"/>
        <v>1170369.83</v>
      </c>
      <c r="I75" s="5">
        <f t="shared" si="23"/>
        <v>1009505.7100000001</v>
      </c>
      <c r="J75" s="5">
        <f t="shared" si="23"/>
        <v>872290.49</v>
      </c>
      <c r="K75" s="5">
        <f t="shared" si="23"/>
        <v>1025018.39</v>
      </c>
      <c r="L75" s="5">
        <f t="shared" si="23"/>
        <v>1169178.96</v>
      </c>
      <c r="M75" s="5">
        <f t="shared" si="23"/>
        <v>1022493.32</v>
      </c>
      <c r="N75" s="5">
        <f t="shared" ref="N75:N80" si="24">SUM(B75:M75)</f>
        <v>11967536.669999998</v>
      </c>
      <c r="O75" s="41"/>
      <c r="P75" s="41"/>
      <c r="Q75" s="41"/>
      <c r="R75" s="43"/>
    </row>
    <row r="76" spans="1:18" x14ac:dyDescent="0.25">
      <c r="A76" s="74" t="s">
        <v>124</v>
      </c>
      <c r="B76" s="14">
        <v>810346.39</v>
      </c>
      <c r="C76" s="14">
        <v>632624.62</v>
      </c>
      <c r="D76" s="14">
        <v>702247.05</v>
      </c>
      <c r="E76" s="14">
        <v>756184.43</v>
      </c>
      <c r="F76" s="14">
        <f>845809.67+38737.69</f>
        <v>884547.3600000001</v>
      </c>
      <c r="G76" s="14">
        <v>780489.36</v>
      </c>
      <c r="H76" s="14">
        <v>822379.15</v>
      </c>
      <c r="I76" s="14">
        <v>809133.49</v>
      </c>
      <c r="J76" s="14">
        <v>711362.25</v>
      </c>
      <c r="K76" s="14">
        <v>816252.75</v>
      </c>
      <c r="L76" s="14">
        <v>1003649.19</v>
      </c>
      <c r="M76" s="14">
        <v>822923.88</v>
      </c>
      <c r="N76" s="3">
        <f t="shared" si="24"/>
        <v>9552139.9200000018</v>
      </c>
      <c r="O76" s="7"/>
      <c r="P76" s="7"/>
      <c r="Q76" s="7"/>
      <c r="R76" s="38"/>
    </row>
    <row r="77" spans="1:18" x14ac:dyDescent="0.25">
      <c r="A77" s="74" t="s">
        <v>125</v>
      </c>
      <c r="B77" s="14">
        <v>76249.070000000007</v>
      </c>
      <c r="C77" s="14">
        <v>82362.990000000005</v>
      </c>
      <c r="D77" s="14">
        <v>167418.65</v>
      </c>
      <c r="E77" s="14">
        <v>85711.61</v>
      </c>
      <c r="F77" s="14">
        <v>83995.12</v>
      </c>
      <c r="G77" s="14">
        <v>90703.97</v>
      </c>
      <c r="H77" s="14">
        <v>84642.75</v>
      </c>
      <c r="I77" s="14">
        <v>87720.92</v>
      </c>
      <c r="J77" s="14">
        <v>76738.7</v>
      </c>
      <c r="K77" s="14">
        <v>92691.69</v>
      </c>
      <c r="L77" s="14">
        <v>93849.53</v>
      </c>
      <c r="M77" s="14">
        <v>114582.02</v>
      </c>
      <c r="N77" s="3">
        <f t="shared" si="24"/>
        <v>1136667.02</v>
      </c>
      <c r="O77" s="7"/>
      <c r="P77" s="7"/>
      <c r="Q77" s="7"/>
      <c r="R77" s="38"/>
    </row>
    <row r="78" spans="1:18" x14ac:dyDescent="0.25">
      <c r="A78" s="74" t="s">
        <v>126</v>
      </c>
      <c r="B78" s="14">
        <v>50950.34</v>
      </c>
      <c r="C78" s="14">
        <v>23945.64</v>
      </c>
      <c r="D78" s="14">
        <v>12614.82</v>
      </c>
      <c r="E78" s="14">
        <v>50198.62</v>
      </c>
      <c r="F78" s="14">
        <v>24538.74</v>
      </c>
      <c r="G78" s="14">
        <v>20584.38</v>
      </c>
      <c r="H78" s="14">
        <v>48329.89</v>
      </c>
      <c r="I78" s="14">
        <v>41040.379999999997</v>
      </c>
      <c r="J78" s="14">
        <v>8255.39</v>
      </c>
      <c r="K78" s="14">
        <v>68523.27</v>
      </c>
      <c r="L78" s="14">
        <v>33058.980000000003</v>
      </c>
      <c r="M78" s="14">
        <v>27838.07</v>
      </c>
      <c r="N78" s="3">
        <f t="shared" si="24"/>
        <v>409878.52</v>
      </c>
      <c r="O78" s="7"/>
      <c r="P78" s="7"/>
      <c r="Q78" s="7"/>
      <c r="R78" s="38"/>
    </row>
    <row r="79" spans="1:18" x14ac:dyDescent="0.25">
      <c r="A79" s="74" t="s">
        <v>127</v>
      </c>
      <c r="B79" s="14">
        <v>0</v>
      </c>
      <c r="C79" s="14">
        <v>260.95999999999998</v>
      </c>
      <c r="D79" s="14">
        <v>0</v>
      </c>
      <c r="E79" s="14">
        <v>133.43</v>
      </c>
      <c r="F79" s="14">
        <v>0</v>
      </c>
      <c r="G79" s="14">
        <v>79.34</v>
      </c>
      <c r="H79" s="14">
        <v>1.36</v>
      </c>
      <c r="I79" s="14">
        <v>0</v>
      </c>
      <c r="J79" s="14">
        <v>138.34</v>
      </c>
      <c r="K79" s="14">
        <v>0</v>
      </c>
      <c r="L79" s="14">
        <v>140.69</v>
      </c>
      <c r="M79" s="14">
        <v>140.97999999999999</v>
      </c>
      <c r="N79" s="3">
        <f t="shared" si="24"/>
        <v>895.10000000000014</v>
      </c>
      <c r="O79" s="7"/>
      <c r="P79" s="7"/>
      <c r="Q79" s="7"/>
      <c r="R79" s="38"/>
    </row>
    <row r="80" spans="1:18" x14ac:dyDescent="0.25">
      <c r="A80" s="74" t="s">
        <v>128</v>
      </c>
      <c r="B80" s="14">
        <v>88724.69</v>
      </c>
      <c r="C80" s="14">
        <v>70678.179999999993</v>
      </c>
      <c r="D80" s="14">
        <v>51767.199999999997</v>
      </c>
      <c r="E80" s="14">
        <v>56559.97</v>
      </c>
      <c r="F80" s="14">
        <v>69260.820000000007</v>
      </c>
      <c r="G80" s="14">
        <v>25502.22</v>
      </c>
      <c r="H80" s="14">
        <v>215016.68</v>
      </c>
      <c r="I80" s="14">
        <v>71610.92</v>
      </c>
      <c r="J80" s="14">
        <v>75795.81</v>
      </c>
      <c r="K80" s="14">
        <v>47550.68</v>
      </c>
      <c r="L80" s="14">
        <v>38480.57</v>
      </c>
      <c r="M80" s="14">
        <v>57008.37</v>
      </c>
      <c r="N80" s="3">
        <f t="shared" si="24"/>
        <v>867956.11</v>
      </c>
      <c r="O80" s="7"/>
      <c r="P80" s="7"/>
      <c r="Q80" s="7"/>
      <c r="R80" s="38"/>
    </row>
    <row r="81" spans="1:18" x14ac:dyDescent="0.25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25">
      <c r="A82" s="74" t="s">
        <v>130</v>
      </c>
      <c r="B82" s="14">
        <v>613819.06000000006</v>
      </c>
      <c r="C82" s="14">
        <v>551944.18999999994</v>
      </c>
      <c r="D82" s="14">
        <v>567053.32999999996</v>
      </c>
      <c r="E82" s="14">
        <v>626894.82999999996</v>
      </c>
      <c r="F82" s="14">
        <v>676708.19</v>
      </c>
      <c r="G82" s="14">
        <v>592596.36</v>
      </c>
      <c r="H82" s="14">
        <v>838573.81</v>
      </c>
      <c r="I82" s="14">
        <v>724545.45</v>
      </c>
      <c r="J82" s="14">
        <v>590402.43000000005</v>
      </c>
      <c r="K82" s="14">
        <v>655836.21</v>
      </c>
      <c r="L82" s="14">
        <v>649418.78</v>
      </c>
      <c r="M82" s="14">
        <v>654884.32999999996</v>
      </c>
      <c r="N82" s="3"/>
      <c r="O82" s="7"/>
      <c r="P82" s="7"/>
      <c r="Q82" s="7"/>
      <c r="R82" s="38"/>
    </row>
    <row r="83" spans="1:18" x14ac:dyDescent="0.25">
      <c r="A83" s="74" t="s">
        <v>129</v>
      </c>
      <c r="B83" s="14">
        <v>412451.43</v>
      </c>
      <c r="C83" s="14">
        <v>257928.2</v>
      </c>
      <c r="D83" s="14">
        <v>366994.39</v>
      </c>
      <c r="E83" s="14">
        <v>321893.23</v>
      </c>
      <c r="F83" s="14">
        <v>385633.85</v>
      </c>
      <c r="G83" s="14">
        <v>324762.90999999997</v>
      </c>
      <c r="H83" s="14">
        <v>331796.02</v>
      </c>
      <c r="I83" s="14">
        <v>284960.26</v>
      </c>
      <c r="J83" s="14">
        <v>281888.06</v>
      </c>
      <c r="K83" s="14">
        <v>369182.18</v>
      </c>
      <c r="L83" s="14">
        <v>458559.26</v>
      </c>
      <c r="M83" s="14">
        <v>367608.99</v>
      </c>
      <c r="N83" s="3"/>
      <c r="O83" s="7"/>
      <c r="P83" s="7"/>
      <c r="Q83" s="7"/>
      <c r="R83" s="38"/>
    </row>
    <row r="84" spans="1:18" x14ac:dyDescent="0.25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75" t="s">
        <v>34</v>
      </c>
      <c r="B86" s="9">
        <f>+B87+B93</f>
        <v>5372</v>
      </c>
      <c r="C86" s="9">
        <f t="shared" ref="C86:M86" si="25">+C87+C93</f>
        <v>5379</v>
      </c>
      <c r="D86" s="9">
        <f t="shared" si="25"/>
        <v>5380</v>
      </c>
      <c r="E86" s="9">
        <f t="shared" si="25"/>
        <v>5389</v>
      </c>
      <c r="F86" s="9">
        <f t="shared" si="25"/>
        <v>5399</v>
      </c>
      <c r="G86" s="9">
        <f t="shared" si="25"/>
        <v>5399</v>
      </c>
      <c r="H86" s="9">
        <f t="shared" si="25"/>
        <v>5408</v>
      </c>
      <c r="I86" s="9">
        <f t="shared" si="25"/>
        <v>5410</v>
      </c>
      <c r="J86" s="9">
        <f t="shared" si="25"/>
        <v>5418</v>
      </c>
      <c r="K86" s="9">
        <f t="shared" si="25"/>
        <v>5717</v>
      </c>
      <c r="L86" s="9">
        <f t="shared" si="25"/>
        <v>5723</v>
      </c>
      <c r="M86" s="9">
        <f t="shared" si="25"/>
        <v>5749</v>
      </c>
      <c r="N86" s="47"/>
      <c r="O86" s="47"/>
      <c r="P86" s="41"/>
      <c r="Q86" s="41"/>
      <c r="R86" s="43"/>
    </row>
    <row r="87" spans="1:18" x14ac:dyDescent="0.25">
      <c r="A87" s="84" t="s">
        <v>35</v>
      </c>
      <c r="B87" s="10">
        <f>+B88+B89+B90+B91+B92</f>
        <v>5282</v>
      </c>
      <c r="C87" s="10">
        <f t="shared" ref="C87:M87" si="26">+C88+C89+C90+C91+C92</f>
        <v>5289</v>
      </c>
      <c r="D87" s="10">
        <f t="shared" si="26"/>
        <v>5292</v>
      </c>
      <c r="E87" s="10">
        <f t="shared" si="26"/>
        <v>5301</v>
      </c>
      <c r="F87" s="10">
        <f t="shared" si="26"/>
        <v>5320</v>
      </c>
      <c r="G87" s="10">
        <f t="shared" si="26"/>
        <v>5320</v>
      </c>
      <c r="H87" s="10">
        <f t="shared" si="26"/>
        <v>5330</v>
      </c>
      <c r="I87" s="10">
        <f t="shared" si="26"/>
        <v>5333</v>
      </c>
      <c r="J87" s="10">
        <f t="shared" si="26"/>
        <v>5341</v>
      </c>
      <c r="K87" s="10">
        <f t="shared" si="26"/>
        <v>5639</v>
      </c>
      <c r="L87" s="10">
        <f t="shared" si="26"/>
        <v>5651</v>
      </c>
      <c r="M87" s="10">
        <f t="shared" si="26"/>
        <v>5675</v>
      </c>
      <c r="N87" s="48"/>
      <c r="O87" s="48"/>
      <c r="P87" s="42"/>
      <c r="Q87" s="42"/>
      <c r="R87" s="49"/>
    </row>
    <row r="88" spans="1:18" x14ac:dyDescent="0.25">
      <c r="A88" s="73" t="s">
        <v>131</v>
      </c>
      <c r="B88" s="17">
        <v>4923</v>
      </c>
      <c r="C88" s="17">
        <v>4931</v>
      </c>
      <c r="D88" s="17">
        <f>4879+54</f>
        <v>4933</v>
      </c>
      <c r="E88" s="17">
        <v>4942</v>
      </c>
      <c r="F88" s="17">
        <f>4904+54</f>
        <v>4958</v>
      </c>
      <c r="G88" s="17">
        <f>4904+54</f>
        <v>4958</v>
      </c>
      <c r="H88" s="17">
        <f>4912+54</f>
        <v>4966</v>
      </c>
      <c r="I88" s="17">
        <f>4916+54</f>
        <v>4970</v>
      </c>
      <c r="J88" s="17">
        <f>4923+54</f>
        <v>4977</v>
      </c>
      <c r="K88" s="17">
        <f>5191+54+1</f>
        <v>5246</v>
      </c>
      <c r="L88" s="17">
        <f>5206+54+1</f>
        <v>5261</v>
      </c>
      <c r="M88" s="17">
        <f>5234+54</f>
        <v>5288</v>
      </c>
      <c r="N88" s="11"/>
      <c r="O88" s="11"/>
      <c r="P88" s="7"/>
      <c r="Q88" s="7"/>
      <c r="R88" s="38"/>
    </row>
    <row r="89" spans="1:18" x14ac:dyDescent="0.25">
      <c r="A89" s="73" t="s">
        <v>132</v>
      </c>
      <c r="B89" s="17">
        <v>242</v>
      </c>
      <c r="C89" s="17">
        <v>241</v>
      </c>
      <c r="D89" s="17">
        <v>241</v>
      </c>
      <c r="E89" s="17">
        <v>241</v>
      </c>
      <c r="F89" s="17">
        <v>246</v>
      </c>
      <c r="G89" s="17">
        <v>246</v>
      </c>
      <c r="H89" s="17">
        <v>246</v>
      </c>
      <c r="I89" s="17">
        <v>245</v>
      </c>
      <c r="J89" s="17">
        <v>247</v>
      </c>
      <c r="K89" s="17">
        <v>279</v>
      </c>
      <c r="L89" s="17">
        <v>278</v>
      </c>
      <c r="M89" s="17">
        <v>275</v>
      </c>
      <c r="N89" s="11"/>
      <c r="O89" s="11"/>
      <c r="P89" s="7"/>
      <c r="Q89" s="7"/>
      <c r="R89" s="38"/>
    </row>
    <row r="90" spans="1:18" x14ac:dyDescent="0.25">
      <c r="A90" s="73" t="s">
        <v>133</v>
      </c>
      <c r="B90" s="17">
        <v>29</v>
      </c>
      <c r="C90" s="17">
        <v>29</v>
      </c>
      <c r="D90" s="17">
        <v>30</v>
      </c>
      <c r="E90" s="17">
        <v>30</v>
      </c>
      <c r="F90" s="17">
        <v>28</v>
      </c>
      <c r="G90" s="17">
        <v>28</v>
      </c>
      <c r="H90" s="17">
        <v>28</v>
      </c>
      <c r="I90" s="17">
        <v>28</v>
      </c>
      <c r="J90" s="17">
        <v>27</v>
      </c>
      <c r="K90" s="17">
        <v>24</v>
      </c>
      <c r="L90" s="17">
        <v>22</v>
      </c>
      <c r="M90" s="17">
        <v>22</v>
      </c>
      <c r="N90" s="11"/>
      <c r="O90" s="11"/>
      <c r="P90" s="7"/>
      <c r="Q90" s="7"/>
      <c r="R90" s="38"/>
    </row>
    <row r="91" spans="1:18" x14ac:dyDescent="0.25">
      <c r="A91" s="73" t="s">
        <v>134</v>
      </c>
      <c r="B91" s="17">
        <v>27</v>
      </c>
      <c r="C91" s="17">
        <v>27</v>
      </c>
      <c r="D91" s="17">
        <f>12+15</f>
        <v>27</v>
      </c>
      <c r="E91" s="17">
        <v>27</v>
      </c>
      <c r="F91" s="17">
        <f>12+15</f>
        <v>27</v>
      </c>
      <c r="G91" s="17">
        <f>12+15</f>
        <v>27</v>
      </c>
      <c r="H91" s="17">
        <f t="shared" ref="H91:M91" si="27">12+17</f>
        <v>29</v>
      </c>
      <c r="I91" s="17">
        <f t="shared" si="27"/>
        <v>29</v>
      </c>
      <c r="J91" s="17">
        <f t="shared" si="27"/>
        <v>29</v>
      </c>
      <c r="K91" s="17">
        <f t="shared" si="27"/>
        <v>29</v>
      </c>
      <c r="L91" s="17">
        <f t="shared" si="27"/>
        <v>29</v>
      </c>
      <c r="M91" s="17">
        <f t="shared" si="27"/>
        <v>29</v>
      </c>
      <c r="N91" s="11"/>
      <c r="O91" s="11"/>
      <c r="P91" s="7"/>
      <c r="Q91" s="7"/>
      <c r="R91" s="38"/>
    </row>
    <row r="92" spans="1:18" x14ac:dyDescent="0.25">
      <c r="A92" s="73" t="s">
        <v>135</v>
      </c>
      <c r="B92" s="17">
        <v>61</v>
      </c>
      <c r="C92" s="17">
        <v>61</v>
      </c>
      <c r="D92" s="17">
        <f>8+9+39+5</f>
        <v>61</v>
      </c>
      <c r="E92" s="17">
        <v>61</v>
      </c>
      <c r="F92" s="17">
        <f t="shared" ref="F92:K92" si="28">8+9+39+5</f>
        <v>61</v>
      </c>
      <c r="G92" s="17">
        <f t="shared" si="28"/>
        <v>61</v>
      </c>
      <c r="H92" s="17">
        <f t="shared" si="28"/>
        <v>61</v>
      </c>
      <c r="I92" s="17">
        <f t="shared" si="28"/>
        <v>61</v>
      </c>
      <c r="J92" s="17">
        <f t="shared" si="28"/>
        <v>61</v>
      </c>
      <c r="K92" s="17">
        <f t="shared" si="28"/>
        <v>61</v>
      </c>
      <c r="L92" s="17">
        <f>8+9+39+5</f>
        <v>61</v>
      </c>
      <c r="M92" s="17">
        <f>8+9+39+5</f>
        <v>61</v>
      </c>
      <c r="N92" s="11"/>
      <c r="O92" s="11"/>
      <c r="P92" s="7"/>
      <c r="Q92" s="7"/>
      <c r="R92" s="38"/>
    </row>
    <row r="93" spans="1:18" x14ac:dyDescent="0.25">
      <c r="A93" s="84" t="s">
        <v>36</v>
      </c>
      <c r="B93" s="10">
        <f>+B94+B95+B96+B97+B98</f>
        <v>90</v>
      </c>
      <c r="C93" s="10">
        <f t="shared" ref="C93:M93" si="29">+C94+C95+C96+C97+C98</f>
        <v>90</v>
      </c>
      <c r="D93" s="10">
        <f t="shared" si="29"/>
        <v>88</v>
      </c>
      <c r="E93" s="10">
        <f t="shared" si="29"/>
        <v>88</v>
      </c>
      <c r="F93" s="10">
        <f t="shared" si="29"/>
        <v>79</v>
      </c>
      <c r="G93" s="10">
        <f t="shared" si="29"/>
        <v>79</v>
      </c>
      <c r="H93" s="10">
        <f t="shared" si="29"/>
        <v>78</v>
      </c>
      <c r="I93" s="10">
        <f t="shared" si="29"/>
        <v>77</v>
      </c>
      <c r="J93" s="10">
        <f t="shared" si="29"/>
        <v>77</v>
      </c>
      <c r="K93" s="10">
        <f t="shared" si="29"/>
        <v>78</v>
      </c>
      <c r="L93" s="10">
        <f t="shared" si="29"/>
        <v>72</v>
      </c>
      <c r="M93" s="10">
        <f t="shared" si="29"/>
        <v>74</v>
      </c>
      <c r="N93" s="48"/>
      <c r="O93" s="48"/>
      <c r="P93" s="42"/>
      <c r="Q93" s="42"/>
      <c r="R93" s="49"/>
    </row>
    <row r="94" spans="1:18" x14ac:dyDescent="0.25">
      <c r="A94" s="73" t="s">
        <v>136</v>
      </c>
      <c r="B94" s="17">
        <v>76</v>
      </c>
      <c r="C94" s="17">
        <v>76</v>
      </c>
      <c r="D94" s="17">
        <f>5+69</f>
        <v>74</v>
      </c>
      <c r="E94" s="17">
        <v>74</v>
      </c>
      <c r="F94" s="17">
        <f>5+59+1</f>
        <v>65</v>
      </c>
      <c r="G94" s="17">
        <f>5+59+1</f>
        <v>65</v>
      </c>
      <c r="H94" s="17">
        <f>5+59+1</f>
        <v>65</v>
      </c>
      <c r="I94" s="17">
        <f>5+58+1</f>
        <v>64</v>
      </c>
      <c r="J94" s="17">
        <f>5+58+1</f>
        <v>64</v>
      </c>
      <c r="K94" s="17">
        <f>5+55</f>
        <v>60</v>
      </c>
      <c r="L94" s="17">
        <f>5+54</f>
        <v>59</v>
      </c>
      <c r="M94" s="17">
        <f>1+5+55</f>
        <v>61</v>
      </c>
      <c r="N94" s="11"/>
      <c r="O94" s="11"/>
      <c r="P94" s="7"/>
      <c r="Q94" s="7"/>
      <c r="R94" s="38"/>
    </row>
    <row r="95" spans="1:18" x14ac:dyDescent="0.25">
      <c r="A95" s="71" t="s">
        <v>137</v>
      </c>
      <c r="B95" s="17">
        <v>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25">
      <c r="A96" s="73" t="s">
        <v>138</v>
      </c>
      <c r="B96" s="17">
        <v>1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0</v>
      </c>
      <c r="I96" s="17">
        <v>0</v>
      </c>
      <c r="J96" s="17">
        <v>0</v>
      </c>
      <c r="K96" s="17">
        <v>5</v>
      </c>
      <c r="L96" s="17">
        <v>0</v>
      </c>
      <c r="M96" s="17">
        <v>0</v>
      </c>
      <c r="N96" s="11"/>
      <c r="O96" s="11"/>
      <c r="P96" s="7"/>
      <c r="Q96" s="7"/>
      <c r="R96" s="38"/>
    </row>
    <row r="97" spans="1:18" x14ac:dyDescent="0.25">
      <c r="A97" s="73" t="s">
        <v>139</v>
      </c>
      <c r="B97" s="17">
        <v>0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25">
      <c r="A98" s="73" t="s">
        <v>140</v>
      </c>
      <c r="B98" s="17">
        <v>13</v>
      </c>
      <c r="C98" s="17">
        <v>13</v>
      </c>
      <c r="D98" s="17">
        <f>12+1</f>
        <v>13</v>
      </c>
      <c r="E98" s="17">
        <v>13</v>
      </c>
      <c r="F98" s="17">
        <v>13</v>
      </c>
      <c r="G98" s="17">
        <v>13</v>
      </c>
      <c r="H98" s="17">
        <f>1+12</f>
        <v>13</v>
      </c>
      <c r="I98" s="17">
        <f>1+12</f>
        <v>13</v>
      </c>
      <c r="J98" s="17">
        <f>1+12</f>
        <v>13</v>
      </c>
      <c r="K98" s="17">
        <f>1+12</f>
        <v>13</v>
      </c>
      <c r="L98" s="17">
        <f>1+12</f>
        <v>13</v>
      </c>
      <c r="M98" s="17">
        <v>13</v>
      </c>
      <c r="N98" s="11"/>
      <c r="O98" s="11"/>
      <c r="P98" s="7"/>
      <c r="Q98" s="7"/>
      <c r="R98" s="38"/>
    </row>
    <row r="99" spans="1:18" ht="15.75" x14ac:dyDescent="0.25">
      <c r="A99" s="75" t="s">
        <v>79</v>
      </c>
      <c r="B99" s="18">
        <v>4781.08</v>
      </c>
      <c r="C99" s="18">
        <v>4787</v>
      </c>
      <c r="D99" s="18">
        <v>4808</v>
      </c>
      <c r="E99" s="18">
        <f>5389*0.9</f>
        <v>4850.1000000000004</v>
      </c>
      <c r="F99" s="18">
        <f>5399*0.9</f>
        <v>4859.1000000000004</v>
      </c>
      <c r="G99" s="18">
        <f>5399*0.92</f>
        <v>4967.08</v>
      </c>
      <c r="H99" s="18">
        <f>5408*0.92</f>
        <v>4975.3600000000006</v>
      </c>
      <c r="I99" s="18">
        <f>5410*0.92</f>
        <v>4977.2</v>
      </c>
      <c r="J99" s="18">
        <f>5418*0.92</f>
        <v>4984.5600000000004</v>
      </c>
      <c r="K99" s="18">
        <f>5717*0.92</f>
        <v>5259.64</v>
      </c>
      <c r="L99" s="18">
        <f>5723*0.92</f>
        <v>5265.16</v>
      </c>
      <c r="M99" s="18">
        <f>5749*0.92</f>
        <v>5289.08</v>
      </c>
      <c r="N99" s="47"/>
      <c r="O99" s="47"/>
      <c r="P99" s="41"/>
      <c r="Q99" s="41"/>
      <c r="R99" s="43"/>
    </row>
    <row r="100" spans="1:18" x14ac:dyDescent="0.25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75" t="s">
        <v>38</v>
      </c>
      <c r="B102" s="5">
        <f>+B103+B107+B108</f>
        <v>15986480.359999998</v>
      </c>
      <c r="C102" s="5">
        <f t="shared" ref="C102:M102" si="30">+C103+C107+C108</f>
        <v>16202523.01</v>
      </c>
      <c r="D102" s="5">
        <f t="shared" si="30"/>
        <v>16233068.579999998</v>
      </c>
      <c r="E102" s="5">
        <f t="shared" si="30"/>
        <v>16328899.6</v>
      </c>
      <c r="F102" s="5">
        <f t="shared" si="30"/>
        <v>16409511.1</v>
      </c>
      <c r="G102" s="5">
        <f t="shared" si="30"/>
        <v>16478138.449999999</v>
      </c>
      <c r="H102" s="5">
        <f t="shared" si="30"/>
        <v>16559529.34</v>
      </c>
      <c r="I102" s="5">
        <f t="shared" si="30"/>
        <v>16727051.570000002</v>
      </c>
      <c r="J102" s="5">
        <f t="shared" si="30"/>
        <v>16919522.239999998</v>
      </c>
      <c r="K102" s="5">
        <f t="shared" si="30"/>
        <v>15221750.26</v>
      </c>
      <c r="L102" s="5">
        <f t="shared" si="30"/>
        <v>12686193.699999999</v>
      </c>
      <c r="M102" s="5">
        <f t="shared" si="30"/>
        <v>11940426.380000001</v>
      </c>
      <c r="N102" s="41"/>
      <c r="O102" s="41"/>
      <c r="P102" s="41"/>
      <c r="Q102" s="41"/>
      <c r="R102" s="43"/>
    </row>
    <row r="103" spans="1:18" x14ac:dyDescent="0.25">
      <c r="A103" s="74" t="s">
        <v>39</v>
      </c>
      <c r="B103" s="3">
        <f>+B104+B105+B106</f>
        <v>13967227.919999998</v>
      </c>
      <c r="C103" s="3">
        <f t="shared" ref="C103:M103" si="31">+C104+C105+C106</f>
        <v>14146465.029999999</v>
      </c>
      <c r="D103" s="3">
        <f t="shared" si="31"/>
        <v>14151599.899999999</v>
      </c>
      <c r="E103" s="3">
        <f t="shared" si="31"/>
        <v>14207457.829999998</v>
      </c>
      <c r="F103" s="3">
        <f t="shared" si="31"/>
        <v>14258887.039999999</v>
      </c>
      <c r="G103" s="3">
        <f t="shared" si="31"/>
        <v>14317961.219999999</v>
      </c>
      <c r="H103" s="3">
        <f t="shared" si="31"/>
        <v>14397425.92</v>
      </c>
      <c r="I103" s="3">
        <f t="shared" si="31"/>
        <v>14527364.010000002</v>
      </c>
      <c r="J103" s="3">
        <f t="shared" si="31"/>
        <v>14721634.389999999</v>
      </c>
      <c r="K103" s="3">
        <f t="shared" si="31"/>
        <v>13014141.65</v>
      </c>
      <c r="L103" s="3">
        <f t="shared" si="31"/>
        <v>10450802.039999999</v>
      </c>
      <c r="M103" s="3">
        <f t="shared" si="31"/>
        <v>9679026</v>
      </c>
      <c r="N103" s="7"/>
      <c r="O103" s="7"/>
      <c r="P103" s="7"/>
      <c r="Q103" s="7"/>
      <c r="R103" s="38"/>
    </row>
    <row r="104" spans="1:18" x14ac:dyDescent="0.25">
      <c r="A104" s="73" t="s">
        <v>141</v>
      </c>
      <c r="B104" s="14">
        <v>11557740.279999999</v>
      </c>
      <c r="C104" s="14">
        <v>11730594.24</v>
      </c>
      <c r="D104" s="14">
        <v>11816644.119999999</v>
      </c>
      <c r="E104" s="14">
        <v>11855372.029999999</v>
      </c>
      <c r="F104" s="14">
        <v>11869220.27</v>
      </c>
      <c r="G104" s="14">
        <v>11900486.4</v>
      </c>
      <c r="H104" s="14">
        <v>11961992.91</v>
      </c>
      <c r="I104" s="14">
        <v>12070699.960000001</v>
      </c>
      <c r="J104" s="14">
        <v>12231062.939999999</v>
      </c>
      <c r="K104" s="14">
        <v>10766083.07</v>
      </c>
      <c r="L104" s="14">
        <v>8517289.3800000008</v>
      </c>
      <c r="M104" s="14">
        <v>7947193.6500000004</v>
      </c>
      <c r="N104" s="7"/>
      <c r="O104" s="7"/>
      <c r="P104" s="7"/>
      <c r="Q104" s="7"/>
      <c r="R104" s="38"/>
    </row>
    <row r="105" spans="1:18" x14ac:dyDescent="0.25">
      <c r="A105" s="73" t="s">
        <v>142</v>
      </c>
      <c r="B105" s="14">
        <v>1533907.61</v>
      </c>
      <c r="C105" s="14">
        <v>1524744.62</v>
      </c>
      <c r="D105" s="14">
        <v>1434944.6</v>
      </c>
      <c r="E105" s="14">
        <v>1444013.09</v>
      </c>
      <c r="F105" s="14">
        <v>1487318.75</v>
      </c>
      <c r="G105" s="14">
        <v>1506295.61</v>
      </c>
      <c r="H105" s="14">
        <v>1514382.45</v>
      </c>
      <c r="I105" s="14">
        <v>1534779.33</v>
      </c>
      <c r="J105" s="14">
        <v>1596020.61</v>
      </c>
      <c r="K105" s="14">
        <v>1862598.48</v>
      </c>
      <c r="L105" s="14">
        <v>1680372.87</v>
      </c>
      <c r="M105" s="14">
        <v>1478343.69</v>
      </c>
      <c r="N105" s="7"/>
      <c r="O105" s="7"/>
      <c r="P105" s="7"/>
      <c r="Q105" s="7"/>
      <c r="R105" s="38"/>
    </row>
    <row r="106" spans="1:18" x14ac:dyDescent="0.25">
      <c r="A106" s="73" t="s">
        <v>143</v>
      </c>
      <c r="B106" s="14">
        <v>875580.03</v>
      </c>
      <c r="C106" s="14">
        <v>891126.17</v>
      </c>
      <c r="D106" s="14">
        <v>900011.18</v>
      </c>
      <c r="E106" s="14">
        <v>908072.71</v>
      </c>
      <c r="F106" s="14">
        <v>902348.02</v>
      </c>
      <c r="G106" s="14">
        <v>911179.21</v>
      </c>
      <c r="H106" s="14">
        <v>921050.56</v>
      </c>
      <c r="I106" s="14">
        <v>921884.72</v>
      </c>
      <c r="J106" s="14">
        <v>894550.84</v>
      </c>
      <c r="K106" s="14">
        <v>385460.1</v>
      </c>
      <c r="L106" s="14">
        <v>253139.79</v>
      </c>
      <c r="M106" s="14">
        <v>253488.66</v>
      </c>
      <c r="N106" s="7"/>
      <c r="O106" s="7"/>
      <c r="P106" s="7"/>
      <c r="Q106" s="7"/>
      <c r="R106" s="38"/>
    </row>
    <row r="107" spans="1:18" x14ac:dyDescent="0.25">
      <c r="A107" s="74" t="s">
        <v>144</v>
      </c>
      <c r="B107" s="14">
        <v>1864046.07</v>
      </c>
      <c r="C107" s="14">
        <v>1895783.32</v>
      </c>
      <c r="D107" s="14">
        <v>1923914.03</v>
      </c>
      <c r="E107" s="14">
        <v>1954190.96</v>
      </c>
      <c r="F107" s="14">
        <v>1974460.31</v>
      </c>
      <c r="G107" s="14">
        <v>1994677.66</v>
      </c>
      <c r="H107" s="14">
        <v>2010185.28</v>
      </c>
      <c r="I107" s="14">
        <v>2035664.39</v>
      </c>
      <c r="J107" s="14">
        <v>2043131.05</v>
      </c>
      <c r="K107" s="14">
        <v>2057616.96</v>
      </c>
      <c r="L107" s="14">
        <v>2079104.05</v>
      </c>
      <c r="M107" s="14">
        <v>2100604</v>
      </c>
      <c r="N107" s="7"/>
      <c r="O107" s="7"/>
      <c r="P107" s="7"/>
      <c r="Q107" s="7"/>
      <c r="R107" s="38"/>
    </row>
    <row r="108" spans="1:18" x14ac:dyDescent="0.25">
      <c r="A108" s="74" t="s">
        <v>145</v>
      </c>
      <c r="B108" s="14">
        <v>155206.37</v>
      </c>
      <c r="C108" s="14">
        <v>160274.66</v>
      </c>
      <c r="D108" s="14">
        <v>157554.65</v>
      </c>
      <c r="E108" s="14">
        <v>167250.81</v>
      </c>
      <c r="F108" s="14">
        <v>176163.75</v>
      </c>
      <c r="G108" s="14">
        <v>165499.57</v>
      </c>
      <c r="H108" s="14">
        <v>151918.14000000001</v>
      </c>
      <c r="I108" s="14">
        <v>164023.17000000001</v>
      </c>
      <c r="J108" s="14">
        <v>154756.79999999999</v>
      </c>
      <c r="K108" s="14">
        <v>149991.65</v>
      </c>
      <c r="L108" s="14">
        <v>156287.60999999999</v>
      </c>
      <c r="M108" s="14">
        <v>160796.38</v>
      </c>
      <c r="N108" s="7"/>
      <c r="O108" s="7"/>
      <c r="P108" s="7"/>
      <c r="Q108" s="7"/>
      <c r="R108" s="38"/>
    </row>
    <row r="109" spans="1:18" x14ac:dyDescent="0.25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6" t="s">
        <v>93</v>
      </c>
      <c r="B110" s="26">
        <f>+B111+B112+B113+B114</f>
        <v>1900</v>
      </c>
      <c r="C110" s="26">
        <f t="shared" ref="C110:M110" si="32">+C111+C112+C113+C114</f>
        <v>2056</v>
      </c>
      <c r="D110" s="26">
        <f t="shared" si="32"/>
        <v>2037</v>
      </c>
      <c r="E110" s="26">
        <f t="shared" si="32"/>
        <v>2009</v>
      </c>
      <c r="F110" s="26">
        <f t="shared" si="32"/>
        <v>1304</v>
      </c>
      <c r="G110" s="26">
        <f t="shared" si="32"/>
        <v>1915</v>
      </c>
      <c r="H110" s="26">
        <f t="shared" si="32"/>
        <v>1954</v>
      </c>
      <c r="I110" s="26">
        <f t="shared" si="32"/>
        <v>1927</v>
      </c>
      <c r="J110" s="26">
        <f t="shared" si="32"/>
        <v>2016</v>
      </c>
      <c r="K110" s="26">
        <f t="shared" si="32"/>
        <v>1703</v>
      </c>
      <c r="L110" s="26">
        <f t="shared" si="32"/>
        <v>1647</v>
      </c>
      <c r="M110" s="26">
        <f t="shared" si="32"/>
        <v>1609</v>
      </c>
      <c r="N110" s="7"/>
      <c r="O110" s="7"/>
      <c r="P110" s="7"/>
      <c r="Q110" s="7"/>
      <c r="R110" s="38"/>
    </row>
    <row r="111" spans="1:18" x14ac:dyDescent="0.25">
      <c r="A111" s="74" t="s">
        <v>90</v>
      </c>
      <c r="B111" s="17">
        <v>619</v>
      </c>
      <c r="C111" s="17">
        <v>768</v>
      </c>
      <c r="D111" s="17">
        <v>735</v>
      </c>
      <c r="E111" s="17">
        <v>695</v>
      </c>
      <c r="F111" s="17">
        <v>219</v>
      </c>
      <c r="G111" s="17">
        <v>635</v>
      </c>
      <c r="H111" s="17">
        <v>705</v>
      </c>
      <c r="I111" s="17">
        <v>650</v>
      </c>
      <c r="J111" s="17">
        <v>725</v>
      </c>
      <c r="K111" s="17">
        <v>583</v>
      </c>
      <c r="L111" s="17">
        <v>708</v>
      </c>
      <c r="M111" s="17">
        <v>751</v>
      </c>
      <c r="N111" s="11"/>
      <c r="O111" s="11"/>
      <c r="P111" s="11"/>
      <c r="Q111" s="7"/>
      <c r="R111" s="38"/>
    </row>
    <row r="112" spans="1:18" x14ac:dyDescent="0.25">
      <c r="A112" s="74" t="s">
        <v>89</v>
      </c>
      <c r="B112" s="17">
        <v>169</v>
      </c>
      <c r="C112" s="17">
        <v>175</v>
      </c>
      <c r="D112" s="17">
        <v>201</v>
      </c>
      <c r="E112" s="17">
        <v>205</v>
      </c>
      <c r="F112" s="17">
        <v>198</v>
      </c>
      <c r="G112" s="17">
        <v>185</v>
      </c>
      <c r="H112" s="17">
        <v>155</v>
      </c>
      <c r="I112" s="17">
        <v>176</v>
      </c>
      <c r="J112" s="17">
        <v>193</v>
      </c>
      <c r="K112" s="17">
        <v>310</v>
      </c>
      <c r="L112" s="17">
        <v>334</v>
      </c>
      <c r="M112" s="17">
        <v>303</v>
      </c>
      <c r="N112" s="11"/>
      <c r="O112" s="11"/>
      <c r="P112" s="11"/>
      <c r="Q112" s="7"/>
      <c r="R112" s="38"/>
    </row>
    <row r="113" spans="1:18" x14ac:dyDescent="0.25">
      <c r="A113" s="74" t="s">
        <v>91</v>
      </c>
      <c r="B113" s="17">
        <f>212+130</f>
        <v>342</v>
      </c>
      <c r="C113" s="17">
        <f>218+126</f>
        <v>344</v>
      </c>
      <c r="D113" s="17">
        <f>199+125</f>
        <v>324</v>
      </c>
      <c r="E113" s="17">
        <f>216+112</f>
        <v>328</v>
      </c>
      <c r="F113" s="17">
        <v>119</v>
      </c>
      <c r="G113" s="17">
        <v>216</v>
      </c>
      <c r="H113" s="17">
        <f>221+117</f>
        <v>338</v>
      </c>
      <c r="I113" s="17">
        <f>229+112</f>
        <v>341</v>
      </c>
      <c r="J113" s="17">
        <f>214+117</f>
        <v>331</v>
      </c>
      <c r="K113" s="17">
        <v>182</v>
      </c>
      <c r="L113" s="17">
        <v>157</v>
      </c>
      <c r="M113" s="17">
        <v>161</v>
      </c>
      <c r="N113" s="11"/>
      <c r="O113" s="11"/>
      <c r="P113" s="11"/>
      <c r="Q113" s="7"/>
      <c r="R113" s="38"/>
    </row>
    <row r="114" spans="1:18" x14ac:dyDescent="0.25">
      <c r="A114" s="74" t="s">
        <v>92</v>
      </c>
      <c r="B114" s="17">
        <v>770</v>
      </c>
      <c r="C114" s="17">
        <v>769</v>
      </c>
      <c r="D114" s="17">
        <v>777</v>
      </c>
      <c r="E114" s="17">
        <v>781</v>
      </c>
      <c r="F114" s="17">
        <v>768</v>
      </c>
      <c r="G114" s="17">
        <f>122+757</f>
        <v>879</v>
      </c>
      <c r="H114" s="17">
        <v>756</v>
      </c>
      <c r="I114" s="17">
        <v>760</v>
      </c>
      <c r="J114" s="17">
        <v>767</v>
      </c>
      <c r="K114" s="17">
        <v>628</v>
      </c>
      <c r="L114" s="17">
        <v>448</v>
      </c>
      <c r="M114" s="17">
        <v>394</v>
      </c>
      <c r="N114" s="11"/>
      <c r="O114" s="11"/>
      <c r="P114" s="11"/>
      <c r="Q114" s="7"/>
      <c r="R114" s="38"/>
    </row>
    <row r="115" spans="1:18" x14ac:dyDescent="0.25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6" t="s">
        <v>98</v>
      </c>
      <c r="B116" s="26">
        <f>SUM(B117:B120)</f>
        <v>4690</v>
      </c>
      <c r="C116" s="26">
        <f t="shared" ref="C116:M116" si="33">SUM(C117:C120)</f>
        <v>4801</v>
      </c>
      <c r="D116" s="26">
        <f t="shared" si="33"/>
        <v>4816</v>
      </c>
      <c r="E116" s="26">
        <f t="shared" si="33"/>
        <v>4867</v>
      </c>
      <c r="F116" s="26">
        <f t="shared" si="33"/>
        <v>4634</v>
      </c>
      <c r="G116" s="26">
        <f t="shared" si="33"/>
        <v>4633</v>
      </c>
      <c r="H116" s="26">
        <f t="shared" si="33"/>
        <v>4494</v>
      </c>
      <c r="I116" s="26">
        <f t="shared" si="33"/>
        <v>4658</v>
      </c>
      <c r="J116" s="26">
        <f t="shared" si="33"/>
        <v>4685</v>
      </c>
      <c r="K116" s="26">
        <f t="shared" si="33"/>
        <v>5052</v>
      </c>
      <c r="L116" s="26">
        <f t="shared" si="33"/>
        <v>5029</v>
      </c>
      <c r="M116" s="26">
        <f t="shared" si="33"/>
        <v>5061</v>
      </c>
      <c r="N116" s="7"/>
      <c r="O116" s="7"/>
      <c r="P116" s="7"/>
      <c r="Q116" s="7"/>
      <c r="R116" s="38"/>
    </row>
    <row r="117" spans="1:18" x14ac:dyDescent="0.25">
      <c r="A117" s="74" t="s">
        <v>94</v>
      </c>
      <c r="B117" s="14">
        <v>688</v>
      </c>
      <c r="C117" s="14">
        <v>680</v>
      </c>
      <c r="D117" s="14">
        <v>708</v>
      </c>
      <c r="E117" s="14">
        <v>701</v>
      </c>
      <c r="F117" s="14">
        <v>628</v>
      </c>
      <c r="G117" s="14">
        <v>611</v>
      </c>
      <c r="H117" s="14">
        <v>608</v>
      </c>
      <c r="I117" s="14">
        <v>582</v>
      </c>
      <c r="J117" s="14">
        <v>630</v>
      </c>
      <c r="K117" s="14">
        <v>715</v>
      </c>
      <c r="L117" s="14">
        <v>837</v>
      </c>
      <c r="M117" s="14">
        <v>841</v>
      </c>
      <c r="N117" s="7"/>
      <c r="O117" s="7"/>
      <c r="P117" s="7"/>
      <c r="Q117" s="7"/>
      <c r="R117" s="38"/>
    </row>
    <row r="118" spans="1:18" x14ac:dyDescent="0.25">
      <c r="A118" s="74" t="s">
        <v>95</v>
      </c>
      <c r="B118" s="14">
        <v>2693</v>
      </c>
      <c r="C118" s="14">
        <v>2886</v>
      </c>
      <c r="D118" s="14">
        <v>2913</v>
      </c>
      <c r="E118" s="14">
        <v>3006</v>
      </c>
      <c r="F118" s="14">
        <v>2633</v>
      </c>
      <c r="G118" s="14">
        <v>2554</v>
      </c>
      <c r="H118" s="14">
        <v>2401</v>
      </c>
      <c r="I118" s="14">
        <v>2670</v>
      </c>
      <c r="J118" s="14">
        <v>2687</v>
      </c>
      <c r="K118" s="14">
        <v>2959</v>
      </c>
      <c r="L118" s="14">
        <v>2793</v>
      </c>
      <c r="M118" s="14">
        <v>2846</v>
      </c>
      <c r="N118" s="7"/>
      <c r="O118" s="7"/>
      <c r="P118" s="7"/>
      <c r="Q118" s="7"/>
      <c r="R118" s="38"/>
    </row>
    <row r="119" spans="1:18" x14ac:dyDescent="0.25">
      <c r="A119" s="74" t="s">
        <v>96</v>
      </c>
      <c r="B119" s="14">
        <v>856</v>
      </c>
      <c r="C119" s="14">
        <v>851</v>
      </c>
      <c r="D119" s="14">
        <v>827</v>
      </c>
      <c r="E119" s="14">
        <v>828</v>
      </c>
      <c r="F119" s="14">
        <v>945</v>
      </c>
      <c r="G119" s="14">
        <v>990</v>
      </c>
      <c r="H119" s="14">
        <v>978</v>
      </c>
      <c r="I119" s="14">
        <v>971</v>
      </c>
      <c r="J119" s="14">
        <v>929</v>
      </c>
      <c r="K119" s="14">
        <v>925</v>
      </c>
      <c r="L119" s="14">
        <v>954</v>
      </c>
      <c r="M119" s="14">
        <v>936</v>
      </c>
      <c r="N119" s="7"/>
      <c r="O119" s="7"/>
      <c r="P119" s="7"/>
      <c r="Q119" s="7"/>
      <c r="R119" s="38"/>
    </row>
    <row r="120" spans="1:18" x14ac:dyDescent="0.25">
      <c r="A120" s="74" t="s">
        <v>97</v>
      </c>
      <c r="B120" s="14">
        <v>453</v>
      </c>
      <c r="C120" s="14">
        <v>384</v>
      </c>
      <c r="D120" s="14">
        <v>368</v>
      </c>
      <c r="E120" s="14">
        <v>332</v>
      </c>
      <c r="F120" s="14">
        <v>428</v>
      </c>
      <c r="G120" s="14">
        <v>478</v>
      </c>
      <c r="H120" s="14">
        <v>507</v>
      </c>
      <c r="I120" s="14">
        <v>435</v>
      </c>
      <c r="J120" s="14">
        <v>439</v>
      </c>
      <c r="K120" s="14">
        <v>453</v>
      </c>
      <c r="L120" s="14">
        <v>445</v>
      </c>
      <c r="M120" s="14">
        <v>438</v>
      </c>
      <c r="N120" s="7"/>
      <c r="O120" s="7"/>
      <c r="P120" s="7"/>
      <c r="Q120" s="7"/>
      <c r="R120" s="38"/>
    </row>
    <row r="121" spans="1:18" x14ac:dyDescent="0.25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74" t="s">
        <v>99</v>
      </c>
      <c r="B123" s="14">
        <v>147.66999999999999</v>
      </c>
      <c r="C123" s="14">
        <v>148.74</v>
      </c>
      <c r="D123" s="14">
        <v>149.82</v>
      </c>
      <c r="E123" s="14">
        <v>150.9</v>
      </c>
      <c r="F123" s="14">
        <v>152.36000000000001</v>
      </c>
      <c r="G123" s="14">
        <v>153.83000000000001</v>
      </c>
      <c r="H123" s="14">
        <v>154.22</v>
      </c>
      <c r="I123" s="14">
        <v>155.62</v>
      </c>
      <c r="J123" s="14">
        <f>+(I123*0.006)+I123</f>
        <v>156.55372</v>
      </c>
      <c r="K123" s="14">
        <f>+(J123*0.006)+J123</f>
        <v>157.49304232</v>
      </c>
      <c r="L123" s="14">
        <f>+(K123*0.006)+K123</f>
        <v>158.43800057391999</v>
      </c>
      <c r="M123" s="14">
        <f>+(L123*0.006)+L123</f>
        <v>159.38862857736351</v>
      </c>
      <c r="N123" s="7"/>
      <c r="O123" s="7"/>
      <c r="P123" s="7"/>
      <c r="Q123" s="7"/>
      <c r="R123" s="38"/>
    </row>
    <row r="124" spans="1:18" x14ac:dyDescent="0.25">
      <c r="A124" s="74" t="s">
        <v>100</v>
      </c>
      <c r="B124" s="14">
        <v>177.61</v>
      </c>
      <c r="C124" s="14">
        <v>178.67</v>
      </c>
      <c r="D124" s="14">
        <v>179.74</v>
      </c>
      <c r="E124" s="14">
        <v>181.5</v>
      </c>
      <c r="F124" s="14">
        <f>+(E124*0.006)+E124</f>
        <v>182.589</v>
      </c>
      <c r="G124" s="14">
        <f>+(F124*0.006)+F124</f>
        <v>183.68453399999999</v>
      </c>
      <c r="H124" s="14">
        <f>+(G124*0.006)+G124</f>
        <v>184.78664120399998</v>
      </c>
      <c r="I124" s="14">
        <f>+(H124*0.006)+H124</f>
        <v>185.89536105122397</v>
      </c>
      <c r="J124" s="14">
        <f t="shared" ref="J124:L125" si="34">+(I124*0.006)+I124</f>
        <v>187.01073321753131</v>
      </c>
      <c r="K124" s="14">
        <f t="shared" si="34"/>
        <v>188.13279761683651</v>
      </c>
      <c r="L124" s="14">
        <f t="shared" si="34"/>
        <v>189.26159440253753</v>
      </c>
      <c r="M124" s="14">
        <f>+(L124*0.006)+L124</f>
        <v>190.39716396895275</v>
      </c>
      <c r="N124" s="7"/>
      <c r="O124" s="7"/>
      <c r="P124" s="7"/>
      <c r="Q124" s="7"/>
      <c r="R124" s="38"/>
    </row>
    <row r="125" spans="1:18" x14ac:dyDescent="0.25">
      <c r="A125" s="74" t="s">
        <v>101</v>
      </c>
      <c r="B125" s="14">
        <v>211.15</v>
      </c>
      <c r="C125" s="14">
        <v>212.41</v>
      </c>
      <c r="D125" s="14">
        <v>213.69</v>
      </c>
      <c r="E125" s="14">
        <f>+(D125*0.006)+D125</f>
        <v>214.97214</v>
      </c>
      <c r="F125" s="14">
        <f>+(E125*0.006)+E125</f>
        <v>216.26197284</v>
      </c>
      <c r="G125" s="14">
        <v>220.16</v>
      </c>
      <c r="H125" s="14">
        <v>221.81</v>
      </c>
      <c r="I125" s="14">
        <v>223.34</v>
      </c>
      <c r="J125" s="14">
        <f t="shared" si="34"/>
        <v>224.68003999999999</v>
      </c>
      <c r="K125" s="14">
        <f t="shared" si="34"/>
        <v>226.02812023999999</v>
      </c>
      <c r="L125" s="14">
        <f t="shared" si="34"/>
        <v>227.38428896144001</v>
      </c>
      <c r="M125" s="14">
        <f>+(L125*0.006)+L125</f>
        <v>228.74859469520865</v>
      </c>
      <c r="N125" s="7"/>
      <c r="O125" s="7"/>
      <c r="P125" s="7"/>
      <c r="Q125" s="7"/>
      <c r="R125" s="38"/>
    </row>
    <row r="126" spans="1:18" x14ac:dyDescent="0.25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81" t="s">
        <v>40</v>
      </c>
      <c r="B128" s="57">
        <f>+B130/B129</f>
        <v>0.93907150118603866</v>
      </c>
      <c r="C128" s="57">
        <f t="shared" ref="C128:M128" si="35">+C130/C129</f>
        <v>0.93920704845814973</v>
      </c>
      <c r="D128" s="57">
        <f t="shared" si="35"/>
        <v>0.98996950186377497</v>
      </c>
      <c r="E128" s="57">
        <f t="shared" si="35"/>
        <v>0.99024059640799733</v>
      </c>
      <c r="F128" s="57">
        <f t="shared" si="35"/>
        <v>0.99030837004405281</v>
      </c>
      <c r="G128" s="57">
        <f t="shared" si="35"/>
        <v>0.9903761436801084</v>
      </c>
      <c r="H128" s="57">
        <f t="shared" si="35"/>
        <v>0.99051169095221958</v>
      </c>
      <c r="I128" s="57">
        <f t="shared" si="35"/>
        <v>0.99071501186038635</v>
      </c>
      <c r="J128" s="57">
        <f t="shared" si="35"/>
        <v>0.99085055913249742</v>
      </c>
      <c r="K128" s="57">
        <f t="shared" si="35"/>
        <v>0.99105388004066419</v>
      </c>
      <c r="L128" s="57">
        <f t="shared" si="35"/>
        <v>0.99152829549305321</v>
      </c>
      <c r="M128" s="57">
        <f t="shared" si="35"/>
        <v>0.99173161640121987</v>
      </c>
      <c r="N128" s="13"/>
      <c r="O128" s="13"/>
      <c r="P128" s="13"/>
      <c r="Q128" s="13"/>
      <c r="R128" s="13"/>
    </row>
    <row r="129" spans="1:18" x14ac:dyDescent="0.25">
      <c r="A129" s="81" t="s">
        <v>103</v>
      </c>
      <c r="B129" s="17">
        <v>14755</v>
      </c>
      <c r="C129" s="17">
        <v>14755</v>
      </c>
      <c r="D129" s="17">
        <v>14755</v>
      </c>
      <c r="E129" s="17">
        <v>14755</v>
      </c>
      <c r="F129" s="17">
        <v>14755</v>
      </c>
      <c r="G129" s="17">
        <v>14755</v>
      </c>
      <c r="H129" s="17">
        <v>14755</v>
      </c>
      <c r="I129" s="17">
        <v>14755</v>
      </c>
      <c r="J129" s="17">
        <v>14755</v>
      </c>
      <c r="K129" s="17">
        <v>14755</v>
      </c>
      <c r="L129" s="17">
        <v>14755</v>
      </c>
      <c r="M129" s="17">
        <v>14755</v>
      </c>
      <c r="N129" s="11"/>
      <c r="O129" s="11"/>
      <c r="P129" s="7"/>
      <c r="Q129" s="7"/>
      <c r="R129" s="38"/>
    </row>
    <row r="130" spans="1:18" x14ac:dyDescent="0.25">
      <c r="A130" s="81" t="s">
        <v>84</v>
      </c>
      <c r="B130" s="17">
        <v>13856</v>
      </c>
      <c r="C130" s="17">
        <v>13858</v>
      </c>
      <c r="D130" s="17">
        <v>14607</v>
      </c>
      <c r="E130" s="17">
        <v>14611</v>
      </c>
      <c r="F130" s="17">
        <v>14612</v>
      </c>
      <c r="G130" s="17">
        <v>14613</v>
      </c>
      <c r="H130" s="17">
        <v>14615</v>
      </c>
      <c r="I130" s="17">
        <v>14618</v>
      </c>
      <c r="J130" s="17">
        <v>14620</v>
      </c>
      <c r="K130" s="17">
        <v>14623</v>
      </c>
      <c r="L130" s="17">
        <v>14630</v>
      </c>
      <c r="M130" s="17">
        <v>14633</v>
      </c>
      <c r="N130" s="11"/>
      <c r="O130" s="11"/>
      <c r="P130" s="7"/>
      <c r="Q130" s="7"/>
      <c r="R130" s="38"/>
    </row>
    <row r="131" spans="1:18" x14ac:dyDescent="0.25">
      <c r="A131" s="81" t="s">
        <v>85</v>
      </c>
      <c r="B131" s="17">
        <v>12684</v>
      </c>
      <c r="C131" s="17">
        <v>12684</v>
      </c>
      <c r="D131" s="17">
        <v>13427</v>
      </c>
      <c r="E131" s="17">
        <v>13434</v>
      </c>
      <c r="F131" s="17">
        <v>13442</v>
      </c>
      <c r="G131" s="17">
        <v>13445</v>
      </c>
      <c r="H131" s="17">
        <v>13447</v>
      </c>
      <c r="I131" s="17">
        <v>13451</v>
      </c>
      <c r="J131" s="17">
        <v>13455</v>
      </c>
      <c r="K131" s="17">
        <v>13457</v>
      </c>
      <c r="L131" s="17">
        <v>13459</v>
      </c>
      <c r="M131" s="17">
        <v>13461</v>
      </c>
      <c r="N131" s="11"/>
      <c r="O131" s="11"/>
      <c r="P131" s="7"/>
      <c r="Q131" s="7"/>
      <c r="R131" s="38"/>
    </row>
    <row r="132" spans="1:18" x14ac:dyDescent="0.25">
      <c r="A132" s="81" t="s">
        <v>86</v>
      </c>
      <c r="B132" s="17">
        <v>3891</v>
      </c>
      <c r="C132" s="17">
        <v>3735</v>
      </c>
      <c r="D132" s="17">
        <v>3766</v>
      </c>
      <c r="E132" s="17">
        <v>3797</v>
      </c>
      <c r="F132" s="17">
        <v>3884</v>
      </c>
      <c r="G132" s="17">
        <v>3908</v>
      </c>
      <c r="H132" s="17">
        <v>3886</v>
      </c>
      <c r="I132" s="17">
        <v>3924</v>
      </c>
      <c r="J132" s="17">
        <v>3838</v>
      </c>
      <c r="K132" s="17">
        <v>4182</v>
      </c>
      <c r="L132" s="17">
        <v>4300</v>
      </c>
      <c r="M132" s="17">
        <v>4344</v>
      </c>
      <c r="N132" s="11"/>
      <c r="O132" s="11"/>
      <c r="P132" s="7"/>
      <c r="Q132" s="7"/>
      <c r="R132" s="38"/>
    </row>
    <row r="133" spans="1:18" x14ac:dyDescent="0.25">
      <c r="A133" s="81" t="s">
        <v>87</v>
      </c>
      <c r="B133" s="17">
        <v>1055</v>
      </c>
      <c r="C133" s="17">
        <v>1204</v>
      </c>
      <c r="D133" s="17">
        <v>1243</v>
      </c>
      <c r="E133" s="17">
        <v>1258</v>
      </c>
      <c r="F133" s="17">
        <v>1272</v>
      </c>
      <c r="G133" s="17">
        <v>1285</v>
      </c>
      <c r="H133" s="17">
        <v>1298</v>
      </c>
      <c r="I133" s="17">
        <v>1306</v>
      </c>
      <c r="J133" s="17">
        <v>1313</v>
      </c>
      <c r="K133" s="17">
        <v>1337</v>
      </c>
      <c r="L133" s="17">
        <v>1354</v>
      </c>
      <c r="M133" s="17">
        <v>1369</v>
      </c>
      <c r="N133" s="11"/>
      <c r="O133" s="11"/>
      <c r="P133" s="7"/>
      <c r="Q133" s="7"/>
      <c r="R133" s="38"/>
    </row>
    <row r="134" spans="1:18" x14ac:dyDescent="0.25">
      <c r="A134" s="81" t="s">
        <v>41</v>
      </c>
      <c r="B134" s="17">
        <v>2</v>
      </c>
      <c r="C134" s="17">
        <v>2</v>
      </c>
      <c r="D134" s="17">
        <v>2</v>
      </c>
      <c r="E134" s="17">
        <v>2</v>
      </c>
      <c r="F134" s="17">
        <v>2</v>
      </c>
      <c r="G134" s="17">
        <v>2</v>
      </c>
      <c r="H134" s="17">
        <v>2</v>
      </c>
      <c r="I134" s="17">
        <v>2</v>
      </c>
      <c r="J134" s="17">
        <v>2</v>
      </c>
      <c r="K134" s="17">
        <v>2</v>
      </c>
      <c r="L134" s="17">
        <v>2</v>
      </c>
      <c r="M134" s="17">
        <v>2</v>
      </c>
      <c r="N134" s="11"/>
      <c r="O134" s="11"/>
      <c r="P134" s="7"/>
      <c r="Q134" s="7"/>
      <c r="R134" s="38"/>
    </row>
    <row r="135" spans="1:18" x14ac:dyDescent="0.25">
      <c r="A135" s="81" t="s">
        <v>42</v>
      </c>
      <c r="B135" s="17">
        <v>4</v>
      </c>
      <c r="C135" s="17">
        <v>4</v>
      </c>
      <c r="D135" s="17">
        <v>4</v>
      </c>
      <c r="E135" s="17">
        <v>4</v>
      </c>
      <c r="F135" s="17">
        <v>4</v>
      </c>
      <c r="G135" s="17">
        <v>4</v>
      </c>
      <c r="H135" s="17">
        <v>4</v>
      </c>
      <c r="I135" s="17">
        <v>4</v>
      </c>
      <c r="J135" s="17">
        <v>4</v>
      </c>
      <c r="K135" s="17">
        <v>4</v>
      </c>
      <c r="L135" s="17">
        <v>4</v>
      </c>
      <c r="M135" s="17">
        <v>4</v>
      </c>
      <c r="N135" s="11"/>
      <c r="O135" s="11"/>
      <c r="P135" s="7"/>
      <c r="Q135" s="7"/>
      <c r="R135" s="38"/>
    </row>
    <row r="136" spans="1:18" x14ac:dyDescent="0.25">
      <c r="A136" s="81" t="s">
        <v>43</v>
      </c>
      <c r="B136" s="17">
        <v>7</v>
      </c>
      <c r="C136" s="17">
        <v>7</v>
      </c>
      <c r="D136" s="17">
        <v>7</v>
      </c>
      <c r="E136" s="17">
        <v>7</v>
      </c>
      <c r="F136" s="17">
        <v>7</v>
      </c>
      <c r="G136" s="17">
        <v>7</v>
      </c>
      <c r="H136" s="17">
        <v>7</v>
      </c>
      <c r="I136" s="17">
        <v>7</v>
      </c>
      <c r="J136" s="17">
        <v>7</v>
      </c>
      <c r="K136" s="17">
        <v>7</v>
      </c>
      <c r="L136" s="17">
        <v>7</v>
      </c>
      <c r="M136" s="17">
        <v>7</v>
      </c>
      <c r="N136" s="11"/>
      <c r="O136" s="11"/>
      <c r="P136" s="7"/>
      <c r="Q136" s="7"/>
      <c r="R136" s="38"/>
    </row>
    <row r="137" spans="1:18" x14ac:dyDescent="0.25">
      <c r="A137" s="81" t="s">
        <v>44</v>
      </c>
      <c r="B137" s="19">
        <v>0.03</v>
      </c>
      <c r="C137" s="19">
        <v>0.01</v>
      </c>
      <c r="D137" s="17">
        <v>2.5000000000000001E-2</v>
      </c>
      <c r="E137" s="17">
        <v>0</v>
      </c>
      <c r="F137" s="17">
        <v>0.03</v>
      </c>
      <c r="G137" s="17">
        <v>0</v>
      </c>
      <c r="H137" s="19">
        <v>0</v>
      </c>
      <c r="I137" s="14">
        <v>0</v>
      </c>
      <c r="J137" s="14"/>
      <c r="K137" s="14">
        <v>0</v>
      </c>
      <c r="L137" s="14">
        <v>0</v>
      </c>
      <c r="M137" s="14"/>
      <c r="N137" s="11"/>
      <c r="O137" s="11"/>
      <c r="P137" s="7"/>
      <c r="Q137" s="7"/>
      <c r="R137" s="38"/>
    </row>
    <row r="138" spans="1:18" x14ac:dyDescent="0.25">
      <c r="A138" s="81" t="s">
        <v>45</v>
      </c>
      <c r="B138" s="14">
        <v>133</v>
      </c>
      <c r="C138" s="14">
        <v>133</v>
      </c>
      <c r="D138" s="17">
        <v>134</v>
      </c>
      <c r="E138" s="17">
        <v>134</v>
      </c>
      <c r="F138" s="17">
        <v>134</v>
      </c>
      <c r="G138" s="17">
        <v>134</v>
      </c>
      <c r="H138" s="17">
        <v>134</v>
      </c>
      <c r="I138" s="14">
        <v>134</v>
      </c>
      <c r="J138" s="14">
        <v>134</v>
      </c>
      <c r="K138" s="14">
        <v>134</v>
      </c>
      <c r="L138" s="14">
        <v>134</v>
      </c>
      <c r="M138" s="14">
        <v>134</v>
      </c>
      <c r="N138" s="11"/>
      <c r="O138" s="11"/>
      <c r="P138" s="7"/>
      <c r="Q138" s="7"/>
      <c r="R138" s="38"/>
    </row>
    <row r="139" spans="1:18" x14ac:dyDescent="0.25">
      <c r="A139" s="81" t="s">
        <v>46</v>
      </c>
      <c r="B139" s="17">
        <v>5005</v>
      </c>
      <c r="C139" s="17">
        <v>5117</v>
      </c>
      <c r="D139" s="17">
        <v>5104</v>
      </c>
      <c r="E139" s="17">
        <v>5104</v>
      </c>
      <c r="F139" s="17">
        <v>4357</v>
      </c>
      <c r="G139" s="17">
        <v>4799</v>
      </c>
      <c r="H139" s="17">
        <v>4910</v>
      </c>
      <c r="I139" s="17">
        <v>4821</v>
      </c>
      <c r="J139" s="17">
        <v>4788</v>
      </c>
      <c r="K139" s="17">
        <v>3581</v>
      </c>
      <c r="L139" s="17">
        <v>5076</v>
      </c>
      <c r="M139" s="17">
        <v>4999</v>
      </c>
      <c r="N139" s="11"/>
      <c r="O139" s="11"/>
      <c r="P139" s="7"/>
      <c r="Q139" s="7"/>
      <c r="R139" s="38"/>
    </row>
    <row r="140" spans="1:18" x14ac:dyDescent="0.25">
      <c r="A140" s="81" t="s">
        <v>158</v>
      </c>
      <c r="B140" s="17">
        <v>277</v>
      </c>
      <c r="C140" s="17">
        <v>172</v>
      </c>
      <c r="D140" s="17">
        <v>188</v>
      </c>
      <c r="E140" s="17">
        <v>197</v>
      </c>
      <c r="F140" s="17">
        <v>1042</v>
      </c>
      <c r="G140" s="17">
        <v>521</v>
      </c>
      <c r="H140" s="17">
        <v>420</v>
      </c>
      <c r="I140" s="17">
        <v>512</v>
      </c>
      <c r="J140" s="17">
        <v>553</v>
      </c>
      <c r="K140" s="17">
        <v>669</v>
      </c>
      <c r="L140" s="17">
        <v>567</v>
      </c>
      <c r="M140" s="17">
        <v>666</v>
      </c>
      <c r="N140" s="11"/>
      <c r="O140" s="11"/>
      <c r="P140" s="7"/>
      <c r="Q140" s="7"/>
      <c r="R140" s="38"/>
    </row>
    <row r="141" spans="1:18" x14ac:dyDescent="0.25">
      <c r="A141" s="81" t="s">
        <v>159</v>
      </c>
      <c r="B141" s="17">
        <v>4</v>
      </c>
      <c r="C141" s="17">
        <v>1</v>
      </c>
      <c r="D141" s="17">
        <v>10</v>
      </c>
      <c r="E141" s="17">
        <v>4</v>
      </c>
      <c r="F141" s="17">
        <v>3</v>
      </c>
      <c r="G141" s="17">
        <v>8</v>
      </c>
      <c r="H141" s="17">
        <v>7</v>
      </c>
      <c r="I141" s="17">
        <v>4</v>
      </c>
      <c r="J141" s="17">
        <v>4</v>
      </c>
      <c r="K141" s="17">
        <v>14</v>
      </c>
      <c r="L141" s="17">
        <v>3</v>
      </c>
      <c r="M141" s="17">
        <v>13</v>
      </c>
      <c r="N141" s="11"/>
      <c r="O141" s="11"/>
      <c r="P141" s="7"/>
      <c r="Q141" s="7"/>
      <c r="R141" s="38"/>
    </row>
    <row r="142" spans="1:18" x14ac:dyDescent="0.25">
      <c r="A142" s="81" t="s">
        <v>162</v>
      </c>
      <c r="B142" s="17">
        <v>46</v>
      </c>
      <c r="C142" s="17">
        <v>10</v>
      </c>
      <c r="D142" s="17">
        <v>33</v>
      </c>
      <c r="E142" s="17">
        <v>29</v>
      </c>
      <c r="F142" s="17">
        <v>13</v>
      </c>
      <c r="G142" s="17">
        <v>13</v>
      </c>
      <c r="H142" s="17">
        <v>17</v>
      </c>
      <c r="I142" s="17">
        <v>1</v>
      </c>
      <c r="J142" s="17">
        <v>4</v>
      </c>
      <c r="K142" s="17">
        <v>24</v>
      </c>
      <c r="L142" s="17">
        <v>1</v>
      </c>
      <c r="M142" s="17">
        <v>17</v>
      </c>
      <c r="N142" s="11"/>
      <c r="O142" s="11"/>
      <c r="P142" s="7"/>
      <c r="Q142" s="7"/>
      <c r="R142" s="38"/>
    </row>
    <row r="143" spans="1:18" x14ac:dyDescent="0.25">
      <c r="A143" s="81" t="s">
        <v>47</v>
      </c>
      <c r="B143" s="17">
        <v>5</v>
      </c>
      <c r="C143" s="17">
        <v>5</v>
      </c>
      <c r="D143" s="17">
        <v>5</v>
      </c>
      <c r="E143" s="17">
        <v>5</v>
      </c>
      <c r="F143" s="17">
        <v>5</v>
      </c>
      <c r="G143" s="17">
        <v>5</v>
      </c>
      <c r="H143" s="17">
        <v>5</v>
      </c>
      <c r="I143" s="17">
        <v>5</v>
      </c>
      <c r="J143" s="17">
        <v>5</v>
      </c>
      <c r="K143" s="17">
        <v>5</v>
      </c>
      <c r="L143" s="17">
        <v>5</v>
      </c>
      <c r="M143" s="17">
        <v>5</v>
      </c>
      <c r="N143" s="11"/>
      <c r="O143" s="11"/>
      <c r="P143" s="7"/>
      <c r="Q143" s="7"/>
      <c r="R143" s="38"/>
    </row>
    <row r="144" spans="1:18" x14ac:dyDescent="0.25">
      <c r="A144" s="81" t="s">
        <v>160</v>
      </c>
      <c r="B144" s="17">
        <v>0</v>
      </c>
      <c r="C144" s="17">
        <v>0</v>
      </c>
      <c r="D144" s="17">
        <v>0</v>
      </c>
      <c r="E144" s="17">
        <v>0</v>
      </c>
      <c r="F144" s="17"/>
      <c r="G144" s="17">
        <v>0</v>
      </c>
      <c r="H144" s="17">
        <v>0</v>
      </c>
      <c r="I144" s="17"/>
      <c r="J144" s="17"/>
      <c r="K144" s="17"/>
      <c r="L144" s="17"/>
      <c r="M144" s="17"/>
      <c r="N144" s="11"/>
      <c r="O144" s="11"/>
      <c r="P144" s="7"/>
      <c r="Q144" s="7"/>
      <c r="R144" s="38"/>
    </row>
    <row r="145" spans="1:18" x14ac:dyDescent="0.25">
      <c r="A145" s="81" t="s">
        <v>161</v>
      </c>
      <c r="B145" s="17">
        <v>0</v>
      </c>
      <c r="C145" s="17">
        <v>0</v>
      </c>
      <c r="D145" s="17">
        <v>0</v>
      </c>
      <c r="E145" s="17">
        <v>0</v>
      </c>
      <c r="F145" s="17"/>
      <c r="G145" s="17">
        <v>0</v>
      </c>
      <c r="H145" s="17">
        <v>0</v>
      </c>
      <c r="I145" s="17"/>
      <c r="J145" s="17"/>
      <c r="K145" s="17"/>
      <c r="L145" s="17"/>
      <c r="M145" s="17"/>
      <c r="N145" s="11"/>
      <c r="O145" s="11"/>
      <c r="P145" s="7"/>
      <c r="Q145" s="7"/>
      <c r="R145" s="38"/>
    </row>
    <row r="146" spans="1:18" x14ac:dyDescent="0.25">
      <c r="A146" s="81" t="s">
        <v>48</v>
      </c>
      <c r="B146" s="8">
        <f>SUM(B147:B151)</f>
        <v>5</v>
      </c>
      <c r="C146" s="8">
        <f t="shared" ref="C146:M146" si="36">SUM(C147:C151)</f>
        <v>5</v>
      </c>
      <c r="D146" s="8">
        <f t="shared" si="36"/>
        <v>5</v>
      </c>
      <c r="E146" s="8">
        <f t="shared" si="36"/>
        <v>5</v>
      </c>
      <c r="F146" s="8">
        <f t="shared" si="36"/>
        <v>5</v>
      </c>
      <c r="G146" s="8">
        <f t="shared" si="36"/>
        <v>5</v>
      </c>
      <c r="H146" s="8">
        <f t="shared" si="36"/>
        <v>5</v>
      </c>
      <c r="I146" s="8">
        <f t="shared" si="36"/>
        <v>5</v>
      </c>
      <c r="J146" s="8">
        <f t="shared" si="36"/>
        <v>5</v>
      </c>
      <c r="K146" s="8">
        <f t="shared" si="36"/>
        <v>5</v>
      </c>
      <c r="L146" s="8">
        <f t="shared" si="36"/>
        <v>5</v>
      </c>
      <c r="M146" s="8">
        <f t="shared" si="36"/>
        <v>5</v>
      </c>
      <c r="N146" s="11"/>
      <c r="O146" s="11"/>
      <c r="P146" s="7"/>
      <c r="Q146" s="7"/>
      <c r="R146" s="38"/>
    </row>
    <row r="147" spans="1:18" x14ac:dyDescent="0.25">
      <c r="A147" s="81" t="s">
        <v>49</v>
      </c>
      <c r="B147" s="17">
        <v>3</v>
      </c>
      <c r="C147" s="17">
        <v>3</v>
      </c>
      <c r="D147" s="17">
        <v>3</v>
      </c>
      <c r="E147" s="17">
        <v>3</v>
      </c>
      <c r="F147" s="17">
        <v>3</v>
      </c>
      <c r="G147" s="17">
        <v>3</v>
      </c>
      <c r="H147" s="17">
        <v>3</v>
      </c>
      <c r="I147" s="17">
        <v>3</v>
      </c>
      <c r="J147" s="17">
        <v>3</v>
      </c>
      <c r="K147" s="17">
        <v>3</v>
      </c>
      <c r="L147" s="17">
        <v>3</v>
      </c>
      <c r="M147" s="17">
        <v>3</v>
      </c>
      <c r="N147" s="11"/>
      <c r="O147" s="11"/>
      <c r="P147" s="7"/>
      <c r="Q147" s="7"/>
      <c r="R147" s="38"/>
    </row>
    <row r="148" spans="1:18" x14ac:dyDescent="0.25">
      <c r="A148" s="81" t="s">
        <v>50</v>
      </c>
      <c r="B148" s="17">
        <v>0</v>
      </c>
      <c r="C148" s="17">
        <v>0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81" t="s">
        <v>51</v>
      </c>
      <c r="B149" s="17">
        <v>1</v>
      </c>
      <c r="C149" s="17">
        <v>1</v>
      </c>
      <c r="D149" s="17">
        <v>1</v>
      </c>
      <c r="E149" s="17">
        <v>1</v>
      </c>
      <c r="F149" s="17">
        <v>1</v>
      </c>
      <c r="G149" s="17">
        <v>1</v>
      </c>
      <c r="H149" s="17">
        <v>1</v>
      </c>
      <c r="I149" s="17">
        <v>1</v>
      </c>
      <c r="J149" s="17">
        <v>1</v>
      </c>
      <c r="K149" s="17">
        <v>1</v>
      </c>
      <c r="L149" s="17">
        <v>1</v>
      </c>
      <c r="M149" s="17">
        <v>1</v>
      </c>
      <c r="N149" s="11"/>
      <c r="O149" s="11"/>
      <c r="P149" s="7"/>
      <c r="Q149" s="7"/>
      <c r="R149" s="38"/>
    </row>
    <row r="150" spans="1:18" x14ac:dyDescent="0.25">
      <c r="A150" s="81" t="s">
        <v>52</v>
      </c>
      <c r="B150" s="18">
        <v>1</v>
      </c>
      <c r="C150" s="17">
        <v>1</v>
      </c>
      <c r="D150" s="17">
        <v>1</v>
      </c>
      <c r="E150" s="17">
        <v>1</v>
      </c>
      <c r="F150" s="17">
        <v>1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1"/>
      <c r="O150" s="11"/>
      <c r="P150" s="7"/>
      <c r="Q150" s="7"/>
      <c r="R150" s="38"/>
    </row>
    <row r="151" spans="1:18" x14ac:dyDescent="0.25">
      <c r="A151" s="81" t="s">
        <v>53</v>
      </c>
      <c r="B151" s="17">
        <v>0</v>
      </c>
      <c r="C151" s="17">
        <v>0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81" t="s">
        <v>54</v>
      </c>
      <c r="B152" s="58">
        <f t="shared" ref="B152:M152" si="37">+B171/B138</f>
        <v>1.8421052631578947</v>
      </c>
      <c r="C152" s="58">
        <f t="shared" si="37"/>
        <v>1.4210526315789473</v>
      </c>
      <c r="D152" s="58">
        <f t="shared" si="37"/>
        <v>1.1044776119402986</v>
      </c>
      <c r="E152" s="58">
        <f t="shared" si="37"/>
        <v>1.4776119402985075</v>
      </c>
      <c r="F152" s="58">
        <f t="shared" si="37"/>
        <v>1.3731343283582089</v>
      </c>
      <c r="G152" s="58">
        <f t="shared" si="37"/>
        <v>0.85820895522388063</v>
      </c>
      <c r="H152" s="58">
        <f t="shared" si="37"/>
        <v>0.76865671641791045</v>
      </c>
      <c r="I152" s="58">
        <f t="shared" si="37"/>
        <v>1.1268656716417911</v>
      </c>
      <c r="J152" s="58">
        <f t="shared" si="37"/>
        <v>0.54477611940298509</v>
      </c>
      <c r="K152" s="58">
        <f t="shared" si="37"/>
        <v>1.0597014925373134</v>
      </c>
      <c r="L152" s="58">
        <f t="shared" si="37"/>
        <v>0.89552238805970152</v>
      </c>
      <c r="M152" s="58">
        <f t="shared" si="37"/>
        <v>0.76865671641791045</v>
      </c>
      <c r="N152" s="11"/>
      <c r="O152" s="11"/>
      <c r="P152" s="7"/>
      <c r="Q152" s="7"/>
      <c r="R152" s="38"/>
    </row>
    <row r="153" spans="1:18" x14ac:dyDescent="0.25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75" t="s">
        <v>105</v>
      </c>
      <c r="B155" s="9">
        <f>+B156+B159+B162+B165</f>
        <v>25</v>
      </c>
      <c r="C155" s="9">
        <f t="shared" ref="C155:M155" si="38">+C156+C159+C162+C165</f>
        <v>25</v>
      </c>
      <c r="D155" s="9">
        <f t="shared" si="38"/>
        <v>25</v>
      </c>
      <c r="E155" s="9">
        <f t="shared" si="38"/>
        <v>25</v>
      </c>
      <c r="F155" s="9">
        <f t="shared" si="38"/>
        <v>25</v>
      </c>
      <c r="G155" s="9">
        <f t="shared" si="38"/>
        <v>22</v>
      </c>
      <c r="H155" s="9">
        <f t="shared" si="38"/>
        <v>22</v>
      </c>
      <c r="I155" s="9">
        <f t="shared" si="38"/>
        <v>21</v>
      </c>
      <c r="J155" s="9">
        <f t="shared" si="38"/>
        <v>21</v>
      </c>
      <c r="K155" s="9">
        <f t="shared" si="38"/>
        <v>21</v>
      </c>
      <c r="L155" s="9">
        <f t="shared" si="38"/>
        <v>21</v>
      </c>
      <c r="M155" s="9">
        <f t="shared" si="38"/>
        <v>21</v>
      </c>
      <c r="N155" s="47"/>
      <c r="O155" s="47"/>
      <c r="P155" s="41"/>
      <c r="Q155" s="41"/>
      <c r="R155" s="43"/>
    </row>
    <row r="156" spans="1:18" x14ac:dyDescent="0.25">
      <c r="A156" s="73" t="s">
        <v>80</v>
      </c>
      <c r="B156" s="8">
        <f>B157+B158</f>
        <v>5</v>
      </c>
      <c r="C156" s="8">
        <f t="shared" ref="C156:M156" si="39">C157+C158</f>
        <v>5</v>
      </c>
      <c r="D156" s="8">
        <f t="shared" si="39"/>
        <v>5</v>
      </c>
      <c r="E156" s="8">
        <f t="shared" si="39"/>
        <v>5</v>
      </c>
      <c r="F156" s="8">
        <f t="shared" si="39"/>
        <v>5</v>
      </c>
      <c r="G156" s="8">
        <f t="shared" si="39"/>
        <v>4</v>
      </c>
      <c r="H156" s="8">
        <f t="shared" si="39"/>
        <v>4</v>
      </c>
      <c r="I156" s="8">
        <f t="shared" si="39"/>
        <v>4</v>
      </c>
      <c r="J156" s="8">
        <f t="shared" si="39"/>
        <v>4</v>
      </c>
      <c r="K156" s="8">
        <f t="shared" si="39"/>
        <v>4</v>
      </c>
      <c r="L156" s="8">
        <f t="shared" si="39"/>
        <v>4</v>
      </c>
      <c r="M156" s="8">
        <f t="shared" si="39"/>
        <v>4</v>
      </c>
      <c r="N156" s="11"/>
      <c r="O156" s="11"/>
      <c r="P156" s="7"/>
      <c r="Q156" s="7"/>
      <c r="R156" s="38"/>
    </row>
    <row r="157" spans="1:18" x14ac:dyDescent="0.25">
      <c r="A157" s="73" t="s">
        <v>81</v>
      </c>
      <c r="B157" s="17">
        <v>5</v>
      </c>
      <c r="C157" s="17">
        <v>5</v>
      </c>
      <c r="D157" s="17">
        <v>5</v>
      </c>
      <c r="E157" s="17">
        <v>5</v>
      </c>
      <c r="F157" s="17">
        <v>5</v>
      </c>
      <c r="G157" s="20">
        <v>4</v>
      </c>
      <c r="H157" s="17">
        <v>4</v>
      </c>
      <c r="I157" s="17">
        <v>4</v>
      </c>
      <c r="J157" s="17">
        <v>4</v>
      </c>
      <c r="K157" s="17">
        <v>4</v>
      </c>
      <c r="L157" s="17">
        <v>4</v>
      </c>
      <c r="M157" s="17">
        <v>4</v>
      </c>
      <c r="N157" s="11"/>
      <c r="O157" s="11"/>
      <c r="P157" s="7"/>
      <c r="Q157" s="7"/>
      <c r="R157" s="38"/>
    </row>
    <row r="158" spans="1:18" x14ac:dyDescent="0.25">
      <c r="A158" s="73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25">
      <c r="A159" s="73" t="s">
        <v>56</v>
      </c>
      <c r="B159" s="8">
        <f>B160+B161</f>
        <v>4</v>
      </c>
      <c r="C159" s="8">
        <f t="shared" ref="C159:M159" si="40">C160+C161</f>
        <v>4</v>
      </c>
      <c r="D159" s="8">
        <f t="shared" si="40"/>
        <v>4</v>
      </c>
      <c r="E159" s="8">
        <f t="shared" si="40"/>
        <v>4</v>
      </c>
      <c r="F159" s="8">
        <f t="shared" si="40"/>
        <v>4</v>
      </c>
      <c r="G159" s="8">
        <f t="shared" si="40"/>
        <v>3</v>
      </c>
      <c r="H159" s="8">
        <f t="shared" si="40"/>
        <v>3</v>
      </c>
      <c r="I159" s="8">
        <f t="shared" si="40"/>
        <v>3</v>
      </c>
      <c r="J159" s="8">
        <f t="shared" si="40"/>
        <v>3</v>
      </c>
      <c r="K159" s="8">
        <f t="shared" si="40"/>
        <v>3</v>
      </c>
      <c r="L159" s="8">
        <f t="shared" si="40"/>
        <v>3</v>
      </c>
      <c r="M159" s="8">
        <f t="shared" si="40"/>
        <v>3</v>
      </c>
      <c r="N159" s="11"/>
      <c r="O159" s="11"/>
      <c r="P159" s="7"/>
      <c r="Q159" s="7"/>
      <c r="R159" s="38"/>
    </row>
    <row r="160" spans="1:18" x14ac:dyDescent="0.25">
      <c r="A160" s="73" t="s">
        <v>81</v>
      </c>
      <c r="B160" s="17">
        <v>4</v>
      </c>
      <c r="C160" s="17">
        <v>4</v>
      </c>
      <c r="D160" s="17">
        <v>4</v>
      </c>
      <c r="E160" s="17">
        <v>4</v>
      </c>
      <c r="F160" s="17">
        <v>4</v>
      </c>
      <c r="G160" s="17">
        <v>3</v>
      </c>
      <c r="H160" s="17">
        <v>3</v>
      </c>
      <c r="I160" s="17">
        <v>3</v>
      </c>
      <c r="J160" s="17">
        <v>3</v>
      </c>
      <c r="K160" s="17">
        <v>3</v>
      </c>
      <c r="L160" s="17">
        <v>3</v>
      </c>
      <c r="M160" s="17">
        <v>3</v>
      </c>
      <c r="N160" s="11"/>
      <c r="O160" s="11"/>
      <c r="P160" s="7"/>
      <c r="Q160" s="7"/>
      <c r="R160" s="38"/>
    </row>
    <row r="161" spans="1:18" x14ac:dyDescent="0.25">
      <c r="A161" s="73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25">
      <c r="A162" s="73" t="s">
        <v>57</v>
      </c>
      <c r="B162" s="8">
        <f>B163+B164</f>
        <v>16</v>
      </c>
      <c r="C162" s="8">
        <f t="shared" ref="C162:M162" si="41">C163+C164</f>
        <v>16</v>
      </c>
      <c r="D162" s="8">
        <f t="shared" si="41"/>
        <v>16</v>
      </c>
      <c r="E162" s="8">
        <f t="shared" si="41"/>
        <v>16</v>
      </c>
      <c r="F162" s="8">
        <f t="shared" si="41"/>
        <v>16</v>
      </c>
      <c r="G162" s="8">
        <f t="shared" si="41"/>
        <v>15</v>
      </c>
      <c r="H162" s="8">
        <f t="shared" si="41"/>
        <v>15</v>
      </c>
      <c r="I162" s="8">
        <f t="shared" si="41"/>
        <v>14</v>
      </c>
      <c r="J162" s="8">
        <f t="shared" si="41"/>
        <v>14</v>
      </c>
      <c r="K162" s="8">
        <f t="shared" si="41"/>
        <v>14</v>
      </c>
      <c r="L162" s="8">
        <f t="shared" si="41"/>
        <v>14</v>
      </c>
      <c r="M162" s="8">
        <f t="shared" si="41"/>
        <v>14</v>
      </c>
      <c r="N162" s="11"/>
      <c r="O162" s="11"/>
      <c r="P162" s="7"/>
      <c r="Q162" s="7"/>
      <c r="R162" s="38"/>
    </row>
    <row r="163" spans="1:18" x14ac:dyDescent="0.25">
      <c r="A163" s="73" t="s">
        <v>81</v>
      </c>
      <c r="B163" s="17">
        <v>16</v>
      </c>
      <c r="C163" s="17">
        <v>16</v>
      </c>
      <c r="D163" s="17">
        <v>16</v>
      </c>
      <c r="E163" s="17">
        <v>16</v>
      </c>
      <c r="F163" s="17">
        <v>16</v>
      </c>
      <c r="G163" s="17">
        <v>15</v>
      </c>
      <c r="H163" s="17">
        <v>15</v>
      </c>
      <c r="I163" s="17">
        <v>14</v>
      </c>
      <c r="J163" s="17">
        <v>14</v>
      </c>
      <c r="K163" s="17">
        <v>14</v>
      </c>
      <c r="L163" s="17">
        <v>14</v>
      </c>
      <c r="M163" s="17">
        <v>14</v>
      </c>
      <c r="N163" s="11"/>
      <c r="O163" s="11"/>
      <c r="P163" s="7"/>
      <c r="Q163" s="7"/>
      <c r="R163" s="38"/>
    </row>
    <row r="164" spans="1:18" x14ac:dyDescent="0.25">
      <c r="A164" s="73" t="s">
        <v>82</v>
      </c>
      <c r="B164" s="17">
        <v>0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73" t="s">
        <v>104</v>
      </c>
      <c r="B165" s="17">
        <v>0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1"/>
      <c r="O165" s="11"/>
      <c r="P165" s="7"/>
      <c r="Q165" s="7"/>
      <c r="R165" s="38"/>
    </row>
    <row r="166" spans="1:18" x14ac:dyDescent="0.25">
      <c r="A166" s="74" t="s">
        <v>58</v>
      </c>
      <c r="B166" s="8">
        <f>B167+B168</f>
        <v>0</v>
      </c>
      <c r="C166" s="8">
        <f t="shared" ref="C166:M166" si="42">C167+C168</f>
        <v>0</v>
      </c>
      <c r="D166" s="8">
        <f t="shared" si="42"/>
        <v>0</v>
      </c>
      <c r="E166" s="8">
        <f t="shared" si="42"/>
        <v>0</v>
      </c>
      <c r="F166" s="8">
        <f t="shared" si="42"/>
        <v>0</v>
      </c>
      <c r="G166" s="8">
        <f t="shared" si="42"/>
        <v>0</v>
      </c>
      <c r="H166" s="8">
        <f t="shared" si="42"/>
        <v>0</v>
      </c>
      <c r="I166" s="8">
        <f t="shared" si="42"/>
        <v>0</v>
      </c>
      <c r="J166" s="8">
        <f t="shared" si="42"/>
        <v>0</v>
      </c>
      <c r="K166" s="8">
        <f t="shared" si="42"/>
        <v>0</v>
      </c>
      <c r="L166" s="8">
        <f t="shared" si="42"/>
        <v>0</v>
      </c>
      <c r="M166" s="8">
        <f t="shared" si="42"/>
        <v>0</v>
      </c>
      <c r="N166" s="11"/>
      <c r="O166" s="11"/>
      <c r="P166" s="7"/>
      <c r="Q166" s="7"/>
      <c r="R166" s="38"/>
    </row>
    <row r="167" spans="1:18" x14ac:dyDescent="0.25">
      <c r="A167" s="73" t="s">
        <v>81</v>
      </c>
      <c r="B167" s="17"/>
      <c r="C167" s="17"/>
      <c r="D167" s="17"/>
      <c r="E167" s="17"/>
      <c r="F167" s="17"/>
      <c r="G167" s="17">
        <v>0</v>
      </c>
      <c r="H167" s="17"/>
      <c r="I167" s="17"/>
      <c r="J167" s="17"/>
      <c r="K167" s="17"/>
      <c r="L167" s="17"/>
      <c r="M167" s="17"/>
      <c r="N167" s="11"/>
      <c r="O167" s="11"/>
      <c r="P167" s="7"/>
      <c r="Q167" s="7"/>
      <c r="R167" s="38"/>
    </row>
    <row r="168" spans="1:18" x14ac:dyDescent="0.25">
      <c r="A168" s="73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81" t="s">
        <v>59</v>
      </c>
      <c r="B170" s="17">
        <v>8</v>
      </c>
      <c r="C170" s="17">
        <v>8</v>
      </c>
      <c r="D170" s="17">
        <v>8</v>
      </c>
      <c r="E170" s="17">
        <v>8</v>
      </c>
      <c r="F170" s="17">
        <v>8</v>
      </c>
      <c r="G170" s="17">
        <v>10</v>
      </c>
      <c r="H170" s="17">
        <v>10</v>
      </c>
      <c r="I170" s="17">
        <v>10</v>
      </c>
      <c r="J170" s="17">
        <v>10</v>
      </c>
      <c r="K170" s="17">
        <v>10</v>
      </c>
      <c r="L170" s="17">
        <v>10</v>
      </c>
      <c r="M170" s="17">
        <v>10</v>
      </c>
      <c r="N170" s="11"/>
      <c r="O170" s="11"/>
      <c r="P170" s="7"/>
      <c r="Q170" s="7"/>
      <c r="R170" s="38"/>
    </row>
    <row r="171" spans="1:18" x14ac:dyDescent="0.25">
      <c r="A171" s="81" t="s">
        <v>60</v>
      </c>
      <c r="B171" s="17">
        <v>245</v>
      </c>
      <c r="C171" s="17">
        <v>189</v>
      </c>
      <c r="D171" s="17">
        <v>148</v>
      </c>
      <c r="E171" s="17">
        <v>198</v>
      </c>
      <c r="F171" s="17">
        <v>184</v>
      </c>
      <c r="G171" s="17">
        <v>115</v>
      </c>
      <c r="H171" s="17">
        <v>103</v>
      </c>
      <c r="I171" s="17">
        <v>151</v>
      </c>
      <c r="J171" s="17">
        <v>73</v>
      </c>
      <c r="K171" s="17">
        <v>142</v>
      </c>
      <c r="L171" s="17">
        <v>120</v>
      </c>
      <c r="M171" s="17">
        <v>103</v>
      </c>
      <c r="N171" s="11"/>
      <c r="O171" s="11"/>
      <c r="P171" s="7"/>
      <c r="Q171" s="7"/>
      <c r="R171" s="38"/>
    </row>
    <row r="172" spans="1:18" x14ac:dyDescent="0.25">
      <c r="A172" s="81" t="s">
        <v>61</v>
      </c>
      <c r="B172" s="17">
        <v>239</v>
      </c>
      <c r="C172" s="17">
        <v>181</v>
      </c>
      <c r="D172" s="17">
        <v>131</v>
      </c>
      <c r="E172" s="17">
        <v>193</v>
      </c>
      <c r="F172" s="17">
        <v>162</v>
      </c>
      <c r="G172" s="17">
        <v>109</v>
      </c>
      <c r="H172" s="17">
        <v>82</v>
      </c>
      <c r="I172" s="17">
        <v>140</v>
      </c>
      <c r="J172" s="17">
        <v>66</v>
      </c>
      <c r="K172" s="17">
        <v>138</v>
      </c>
      <c r="L172" s="17">
        <v>77</v>
      </c>
      <c r="M172" s="17">
        <v>63</v>
      </c>
      <c r="N172" s="11"/>
      <c r="O172" s="11"/>
      <c r="P172" s="7"/>
      <c r="Q172" s="7"/>
      <c r="R172" s="38"/>
    </row>
    <row r="173" spans="1:18" x14ac:dyDescent="0.25">
      <c r="A173" s="81" t="s">
        <v>62</v>
      </c>
      <c r="B173" s="17">
        <v>384</v>
      </c>
      <c r="C173" s="17">
        <v>384</v>
      </c>
      <c r="D173" s="17">
        <v>293</v>
      </c>
      <c r="E173" s="17">
        <v>420</v>
      </c>
      <c r="F173" s="17">
        <v>486</v>
      </c>
      <c r="G173" s="17">
        <v>615</v>
      </c>
      <c r="H173" s="17">
        <v>609</v>
      </c>
      <c r="I173" s="17">
        <v>415</v>
      </c>
      <c r="J173" s="17">
        <v>442</v>
      </c>
      <c r="K173" s="17">
        <v>391</v>
      </c>
      <c r="L173" s="17">
        <v>385</v>
      </c>
      <c r="M173" s="17">
        <v>398</v>
      </c>
      <c r="N173" s="11"/>
      <c r="O173" s="11"/>
      <c r="P173" s="7"/>
      <c r="Q173" s="7"/>
      <c r="R173" s="38"/>
    </row>
    <row r="174" spans="1:18" x14ac:dyDescent="0.25">
      <c r="A174" s="81" t="s">
        <v>63</v>
      </c>
      <c r="B174" s="17">
        <v>267</v>
      </c>
      <c r="C174" s="17">
        <v>201</v>
      </c>
      <c r="D174" s="17">
        <v>181</v>
      </c>
      <c r="E174" s="17">
        <v>219</v>
      </c>
      <c r="F174" s="17">
        <v>267</v>
      </c>
      <c r="G174" s="17">
        <v>172</v>
      </c>
      <c r="H174" s="17">
        <v>149</v>
      </c>
      <c r="I174" s="17">
        <v>178</v>
      </c>
      <c r="J174" s="17">
        <f>73+28</f>
        <v>101</v>
      </c>
      <c r="K174" s="17">
        <v>173</v>
      </c>
      <c r="L174" s="17">
        <v>132</v>
      </c>
      <c r="M174" s="17">
        <v>162</v>
      </c>
      <c r="N174" s="11"/>
      <c r="O174" s="11"/>
      <c r="P174" s="7"/>
      <c r="Q174" s="7"/>
      <c r="R174" s="38"/>
    </row>
    <row r="175" spans="1:18" x14ac:dyDescent="0.25">
      <c r="A175" s="81" t="s">
        <v>64</v>
      </c>
      <c r="B175" s="17">
        <v>261</v>
      </c>
      <c r="C175" s="17">
        <v>197</v>
      </c>
      <c r="D175" s="17">
        <v>172</v>
      </c>
      <c r="E175" s="17">
        <v>214</v>
      </c>
      <c r="F175" s="17">
        <v>239</v>
      </c>
      <c r="G175" s="17">
        <v>151</v>
      </c>
      <c r="H175" s="17">
        <v>124</v>
      </c>
      <c r="I175" s="17">
        <v>169</v>
      </c>
      <c r="J175" s="17">
        <v>94</v>
      </c>
      <c r="K175" s="17">
        <v>155</v>
      </c>
      <c r="L175" s="17">
        <v>107</v>
      </c>
      <c r="M175" s="17">
        <v>62</v>
      </c>
      <c r="N175" s="11"/>
      <c r="O175" s="11"/>
      <c r="P175" s="7"/>
      <c r="Q175" s="7"/>
      <c r="R175" s="38"/>
    </row>
    <row r="176" spans="1:18" x14ac:dyDescent="0.25">
      <c r="A176" s="81" t="s">
        <v>65</v>
      </c>
      <c r="B176" s="17">
        <v>5315</v>
      </c>
      <c r="C176" s="17">
        <v>5330</v>
      </c>
      <c r="D176" s="17">
        <v>5292</v>
      </c>
      <c r="E176" s="17">
        <v>5343</v>
      </c>
      <c r="F176" s="17">
        <v>5320</v>
      </c>
      <c r="G176" s="17">
        <v>5247</v>
      </c>
      <c r="H176" s="17">
        <v>5253</v>
      </c>
      <c r="I176" s="17">
        <v>5275</v>
      </c>
      <c r="J176" s="17">
        <v>5272</v>
      </c>
      <c r="K176" s="17">
        <v>5569</v>
      </c>
      <c r="L176" s="17">
        <v>5651</v>
      </c>
      <c r="M176" s="17">
        <v>5675</v>
      </c>
      <c r="N176" s="11"/>
      <c r="O176" s="11"/>
      <c r="P176" s="7"/>
      <c r="Q176" s="7"/>
      <c r="R176" s="38"/>
    </row>
    <row r="177" spans="1:18" x14ac:dyDescent="0.25">
      <c r="A177" s="89" t="s">
        <v>66</v>
      </c>
      <c r="B177" s="21">
        <v>54</v>
      </c>
      <c r="C177" s="21">
        <v>54</v>
      </c>
      <c r="D177" s="21">
        <v>45</v>
      </c>
      <c r="E177" s="21">
        <v>54</v>
      </c>
      <c r="F177" s="21">
        <v>55</v>
      </c>
      <c r="G177" s="21">
        <v>73</v>
      </c>
      <c r="H177" s="21">
        <v>61</v>
      </c>
      <c r="I177" s="21">
        <v>58</v>
      </c>
      <c r="J177" s="21">
        <v>69</v>
      </c>
      <c r="K177" s="21">
        <v>70</v>
      </c>
      <c r="L177" s="21">
        <v>65</v>
      </c>
      <c r="M177" s="21">
        <v>69</v>
      </c>
      <c r="N177" s="12"/>
      <c r="O177" s="12"/>
      <c r="P177" s="54"/>
      <c r="Q177" s="54"/>
      <c r="R177" s="55"/>
    </row>
    <row r="183" spans="1:18" x14ac:dyDescent="0.25">
      <c r="A183" s="32" t="s">
        <v>164</v>
      </c>
      <c r="D183" s="32" t="s">
        <v>165</v>
      </c>
    </row>
    <row r="184" spans="1:18" x14ac:dyDescent="0.25">
      <c r="A184" s="32" t="s">
        <v>166</v>
      </c>
      <c r="D184" s="32" t="s">
        <v>167</v>
      </c>
    </row>
    <row r="190" spans="1:18" x14ac:dyDescent="0.25">
      <c r="Q190" s="56"/>
      <c r="R190" s="56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3622047244094491" right="0.15748031496062992" top="0.74803149606299213" bottom="0.27559055118110237" header="0.31496062992125984" footer="0.31496062992125984"/>
  <pageSetup scale="4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" sqref="C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G7" sqref="G7"/>
    </sheetView>
  </sheetViews>
  <sheetFormatPr baseColWidth="10" defaultRowHeight="15" x14ac:dyDescent="0.25"/>
  <cols>
    <col min="1" max="1" width="17.140625" customWidth="1"/>
  </cols>
  <sheetData>
    <row r="1" spans="1:3" ht="15.75" x14ac:dyDescent="0.25">
      <c r="A1" s="63"/>
      <c r="B1" s="64"/>
      <c r="C1" s="64"/>
    </row>
    <row r="2" spans="1:3" x14ac:dyDescent="0.25">
      <c r="A2" s="65"/>
      <c r="B2" s="11"/>
      <c r="C2" s="7"/>
    </row>
    <row r="3" spans="1:3" ht="15.75" x14ac:dyDescent="0.25">
      <c r="A3" s="66"/>
      <c r="B3" s="10"/>
      <c r="C3" s="10"/>
    </row>
    <row r="4" spans="1:3" x14ac:dyDescent="0.25">
      <c r="A4" s="52"/>
      <c r="B4" s="8"/>
      <c r="C4" s="8"/>
    </row>
    <row r="5" spans="1:3" x14ac:dyDescent="0.25">
      <c r="A5" s="52"/>
      <c r="B5" s="11"/>
      <c r="C5" s="11"/>
    </row>
    <row r="6" spans="1:3" x14ac:dyDescent="0.25">
      <c r="A6" s="52"/>
      <c r="B6" s="11"/>
      <c r="C6" s="11"/>
    </row>
    <row r="7" spans="1:3" x14ac:dyDescent="0.25">
      <c r="A7" s="52"/>
      <c r="B7" s="8"/>
      <c r="C7" s="8"/>
    </row>
    <row r="8" spans="1:3" x14ac:dyDescent="0.25">
      <c r="A8" s="52"/>
      <c r="B8" s="11"/>
      <c r="C8" s="11"/>
    </row>
    <row r="9" spans="1:3" x14ac:dyDescent="0.25">
      <c r="A9" s="52"/>
      <c r="B9" s="11"/>
      <c r="C9" s="11"/>
    </row>
    <row r="10" spans="1:3" x14ac:dyDescent="0.25">
      <c r="A10" s="52"/>
      <c r="B10" s="8"/>
      <c r="C10" s="8"/>
    </row>
    <row r="11" spans="1:3" x14ac:dyDescent="0.25">
      <c r="A11" s="52"/>
      <c r="B11" s="11"/>
      <c r="C11" s="11"/>
    </row>
    <row r="12" spans="1:3" x14ac:dyDescent="0.25">
      <c r="A12" s="52"/>
      <c r="B12" s="11"/>
      <c r="C12" s="11"/>
    </row>
    <row r="13" spans="1:3" x14ac:dyDescent="0.25">
      <c r="A13" s="52"/>
      <c r="B13" s="11"/>
      <c r="C13" s="11"/>
    </row>
    <row r="14" spans="1:3" x14ac:dyDescent="0.25">
      <c r="A14" s="53"/>
      <c r="B14" s="8"/>
      <c r="C14" s="11"/>
    </row>
    <row r="15" spans="1:3" x14ac:dyDescent="0.25">
      <c r="A15" s="52"/>
      <c r="B15" s="11"/>
      <c r="C15" s="11"/>
    </row>
    <row r="16" spans="1:3" x14ac:dyDescent="0.25">
      <c r="A16" s="52"/>
      <c r="B16" s="11"/>
      <c r="C16" s="11"/>
    </row>
    <row r="17" spans="1:3" x14ac:dyDescent="0.25">
      <c r="A17" s="67"/>
      <c r="B17" s="48"/>
      <c r="C17" s="11"/>
    </row>
    <row r="18" spans="1:3" x14ac:dyDescent="0.25">
      <c r="A18" s="67"/>
      <c r="B18" s="11"/>
      <c r="C18" s="11"/>
    </row>
    <row r="19" spans="1:3" x14ac:dyDescent="0.25">
      <c r="A19" s="67"/>
      <c r="B19" s="11"/>
      <c r="C19" s="11"/>
    </row>
    <row r="20" spans="1:3" x14ac:dyDescent="0.25">
      <c r="A20" s="67"/>
      <c r="B20" s="11"/>
      <c r="C20" s="11"/>
    </row>
    <row r="21" spans="1:3" x14ac:dyDescent="0.25">
      <c r="A21" s="67"/>
      <c r="B21" s="11"/>
      <c r="C21" s="11"/>
    </row>
    <row r="22" spans="1:3" x14ac:dyDescent="0.25">
      <c r="A22" s="67"/>
      <c r="B22" s="11"/>
      <c r="C22" s="11"/>
    </row>
    <row r="23" spans="1:3" x14ac:dyDescent="0.25">
      <c r="A23" s="67"/>
      <c r="B23" s="11"/>
      <c r="C23" s="11"/>
    </row>
    <row r="24" spans="1:3" x14ac:dyDescent="0.25">
      <c r="A24" s="67"/>
      <c r="B24" s="11"/>
      <c r="C24" s="11"/>
    </row>
    <row r="25" spans="1:3" x14ac:dyDescent="0.25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PC01 JMAS</cp:lastModifiedBy>
  <cp:lastPrinted>2024-02-01T15:49:41Z</cp:lastPrinted>
  <dcterms:created xsi:type="dcterms:W3CDTF">2014-03-28T15:53:31Z</dcterms:created>
  <dcterms:modified xsi:type="dcterms:W3CDTF">2024-02-01T15:51:03Z</dcterms:modified>
</cp:coreProperties>
</file>