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uxContabilidad\"/>
    </mc:Choice>
  </mc:AlternateContent>
  <xr:revisionPtr revIDLastSave="0" documentId="13_ncr:1_{4339CD2A-E2B1-459D-94AE-A364DE4E5C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L14" i="1"/>
  <c r="N182" i="1" l="1"/>
  <c r="K29" i="1" l="1"/>
  <c r="K14" i="1"/>
  <c r="J14" i="1"/>
  <c r="I14" i="1"/>
  <c r="N193" i="1" l="1"/>
  <c r="N191" i="1"/>
  <c r="N188" i="1" l="1"/>
  <c r="N186" i="1"/>
  <c r="N184" i="1"/>
  <c r="H133" i="1"/>
  <c r="H14" i="1"/>
  <c r="F14" i="1" l="1"/>
  <c r="G33" i="1"/>
  <c r="G29" i="1"/>
  <c r="G14" i="1"/>
  <c r="E14" i="1"/>
  <c r="F11" i="2"/>
  <c r="C11" i="2"/>
  <c r="H6" i="2"/>
  <c r="H8" i="2"/>
  <c r="H9" i="2"/>
  <c r="H5" i="2"/>
  <c r="G5" i="2"/>
  <c r="G6" i="2"/>
  <c r="G8" i="2"/>
  <c r="G9" i="2"/>
  <c r="E7" i="2"/>
  <c r="E11" i="2" s="1"/>
  <c r="D7" i="2"/>
  <c r="D14" i="1"/>
  <c r="C14" i="1"/>
  <c r="G7" i="2" l="1"/>
  <c r="H7" i="2"/>
  <c r="D11" i="2"/>
  <c r="I11" i="2" s="1"/>
  <c r="B14" i="1"/>
  <c r="I6" i="2" l="1"/>
  <c r="I7" i="2"/>
  <c r="I8" i="2"/>
  <c r="I9" i="2"/>
  <c r="I5" i="2"/>
  <c r="C166" i="1"/>
  <c r="D166" i="1"/>
  <c r="E166" i="1"/>
  <c r="F166" i="1"/>
  <c r="G166" i="1"/>
  <c r="H166" i="1"/>
  <c r="I166" i="1"/>
  <c r="J166" i="1"/>
  <c r="K166" i="1"/>
  <c r="L166" i="1"/>
  <c r="M166" i="1"/>
  <c r="C162" i="1"/>
  <c r="D162" i="1"/>
  <c r="E162" i="1"/>
  <c r="F162" i="1"/>
  <c r="G162" i="1"/>
  <c r="H162" i="1"/>
  <c r="I162" i="1"/>
  <c r="J162" i="1"/>
  <c r="K162" i="1"/>
  <c r="L162" i="1"/>
  <c r="M162" i="1"/>
  <c r="C159" i="1"/>
  <c r="D159" i="1"/>
  <c r="E159" i="1"/>
  <c r="F159" i="1"/>
  <c r="G159" i="1"/>
  <c r="H159" i="1"/>
  <c r="I159" i="1"/>
  <c r="J159" i="1"/>
  <c r="K159" i="1"/>
  <c r="L159" i="1"/>
  <c r="M159" i="1"/>
  <c r="C156" i="1"/>
  <c r="D156" i="1"/>
  <c r="E156" i="1"/>
  <c r="F156" i="1"/>
  <c r="G156" i="1"/>
  <c r="H156" i="1"/>
  <c r="I156" i="1"/>
  <c r="J156" i="1"/>
  <c r="K156" i="1"/>
  <c r="L156" i="1"/>
  <c r="M156" i="1"/>
  <c r="C146" i="1"/>
  <c r="D146" i="1"/>
  <c r="E146" i="1"/>
  <c r="F146" i="1"/>
  <c r="G146" i="1"/>
  <c r="H146" i="1"/>
  <c r="I146" i="1"/>
  <c r="J146" i="1"/>
  <c r="K146" i="1"/>
  <c r="L146" i="1"/>
  <c r="M146" i="1"/>
  <c r="B146" i="1"/>
  <c r="N27" i="1"/>
  <c r="R38" i="1"/>
  <c r="N35" i="1"/>
  <c r="O13" i="1"/>
  <c r="O11" i="1" s="1"/>
  <c r="C12" i="1"/>
  <c r="D12" i="1"/>
  <c r="E12" i="1"/>
  <c r="F12" i="1"/>
  <c r="G12" i="1"/>
  <c r="H12" i="1"/>
  <c r="I12" i="1"/>
  <c r="J12" i="1"/>
  <c r="K12" i="1"/>
  <c r="L12" i="1"/>
  <c r="M12" i="1"/>
  <c r="B12" i="1"/>
  <c r="K155" i="1" l="1"/>
  <c r="L155" i="1"/>
  <c r="H155" i="1"/>
  <c r="D155" i="1"/>
  <c r="C155" i="1"/>
  <c r="G155" i="1"/>
  <c r="J155" i="1"/>
  <c r="F155" i="1"/>
  <c r="M155" i="1"/>
  <c r="I155" i="1"/>
  <c r="E155" i="1"/>
  <c r="C41" i="1"/>
  <c r="D41" i="1"/>
  <c r="E41" i="1"/>
  <c r="F41" i="1"/>
  <c r="G41" i="1"/>
  <c r="H41" i="1"/>
  <c r="I41" i="1"/>
  <c r="J41" i="1"/>
  <c r="K41" i="1"/>
  <c r="L41" i="1"/>
  <c r="M41" i="1"/>
  <c r="N39" i="1"/>
  <c r="N38" i="1"/>
  <c r="N30" i="1"/>
  <c r="C25" i="1"/>
  <c r="C22" i="1" s="1"/>
  <c r="C21" i="1" s="1"/>
  <c r="D25" i="1"/>
  <c r="D22" i="1" s="1"/>
  <c r="D21" i="1" s="1"/>
  <c r="E25" i="1"/>
  <c r="E22" i="1" s="1"/>
  <c r="E21" i="1" s="1"/>
  <c r="F25" i="1"/>
  <c r="F22" i="1" s="1"/>
  <c r="F21" i="1" s="1"/>
  <c r="G25" i="1"/>
  <c r="G22" i="1" s="1"/>
  <c r="G21" i="1" s="1"/>
  <c r="H25" i="1"/>
  <c r="H22" i="1" s="1"/>
  <c r="H21" i="1" s="1"/>
  <c r="I25" i="1"/>
  <c r="I22" i="1" s="1"/>
  <c r="I21" i="1" s="1"/>
  <c r="J25" i="1"/>
  <c r="J22" i="1" s="1"/>
  <c r="J21" i="1" s="1"/>
  <c r="K25" i="1"/>
  <c r="K22" i="1" s="1"/>
  <c r="K21" i="1" s="1"/>
  <c r="L25" i="1"/>
  <c r="L22" i="1" s="1"/>
  <c r="L21" i="1" s="1"/>
  <c r="M25" i="1"/>
  <c r="M22" i="1" s="1"/>
  <c r="M21" i="1" s="1"/>
  <c r="R39" i="1" l="1"/>
  <c r="N14" i="1"/>
  <c r="N15" i="1"/>
  <c r="R15" i="1" s="1"/>
  <c r="N16" i="1"/>
  <c r="N17" i="1"/>
  <c r="N18" i="1"/>
  <c r="N19" i="1"/>
  <c r="R19" i="1" s="1"/>
  <c r="C13" i="1"/>
  <c r="C11" i="1" s="1"/>
  <c r="C10" i="1" s="1"/>
  <c r="C31" i="1" s="1"/>
  <c r="C34" i="1" s="1"/>
  <c r="D13" i="1"/>
  <c r="E13" i="1"/>
  <c r="F13" i="1"/>
  <c r="G13" i="1"/>
  <c r="G11" i="1" s="1"/>
  <c r="G10" i="1" s="1"/>
  <c r="G31" i="1" s="1"/>
  <c r="G34" i="1" s="1"/>
  <c r="H13" i="1"/>
  <c r="H11" i="1" s="1"/>
  <c r="H10" i="1" s="1"/>
  <c r="H31" i="1" s="1"/>
  <c r="H34" i="1" s="1"/>
  <c r="I13" i="1"/>
  <c r="J13" i="1"/>
  <c r="K13" i="1"/>
  <c r="K11" i="1" s="1"/>
  <c r="K10" i="1" s="1"/>
  <c r="K31" i="1" s="1"/>
  <c r="K34" i="1" s="1"/>
  <c r="L13" i="1"/>
  <c r="M13" i="1"/>
  <c r="M11" i="1" s="1"/>
  <c r="M10" i="1" s="1"/>
  <c r="M31" i="1" s="1"/>
  <c r="M34" i="1" s="1"/>
  <c r="O25" i="1"/>
  <c r="O22" i="1" s="1"/>
  <c r="N29" i="1"/>
  <c r="R30" i="1" s="1"/>
  <c r="N13" i="1" l="1"/>
  <c r="I11" i="1"/>
  <c r="I10" i="1" s="1"/>
  <c r="I31" i="1" s="1"/>
  <c r="I34" i="1" s="1"/>
  <c r="E11" i="1"/>
  <c r="E10" i="1" s="1"/>
  <c r="E31" i="1" s="1"/>
  <c r="E34" i="1" s="1"/>
  <c r="J11" i="1"/>
  <c r="J10" i="1" s="1"/>
  <c r="J31" i="1" s="1"/>
  <c r="J34" i="1" s="1"/>
  <c r="F11" i="1"/>
  <c r="F10" i="1" s="1"/>
  <c r="F31" i="1" s="1"/>
  <c r="F34" i="1" s="1"/>
  <c r="L11" i="1"/>
  <c r="L10" i="1" s="1"/>
  <c r="L31" i="1" s="1"/>
  <c r="L34" i="1" s="1"/>
  <c r="D11" i="1"/>
  <c r="D10" i="1" s="1"/>
  <c r="D31" i="1" s="1"/>
  <c r="D34" i="1" s="1"/>
  <c r="N12" i="1"/>
  <c r="R13" i="1" l="1"/>
  <c r="N11" i="1"/>
  <c r="C116" i="1"/>
  <c r="D116" i="1"/>
  <c r="E116" i="1"/>
  <c r="F116" i="1"/>
  <c r="G116" i="1"/>
  <c r="H116" i="1"/>
  <c r="I116" i="1"/>
  <c r="J116" i="1"/>
  <c r="K116" i="1"/>
  <c r="L116" i="1"/>
  <c r="M116" i="1"/>
  <c r="C110" i="1"/>
  <c r="D110" i="1"/>
  <c r="E110" i="1"/>
  <c r="F110" i="1"/>
  <c r="G110" i="1"/>
  <c r="H110" i="1"/>
  <c r="I110" i="1"/>
  <c r="J110" i="1"/>
  <c r="K110" i="1"/>
  <c r="L110" i="1"/>
  <c r="M110" i="1"/>
  <c r="B110" i="1"/>
  <c r="N10" i="1" l="1"/>
  <c r="B162" i="1"/>
  <c r="C68" i="1" l="1"/>
  <c r="D68" i="1"/>
  <c r="E68" i="1"/>
  <c r="F68" i="1"/>
  <c r="G68" i="1"/>
  <c r="H68" i="1"/>
  <c r="I68" i="1"/>
  <c r="J68" i="1"/>
  <c r="K68" i="1"/>
  <c r="L68" i="1"/>
  <c r="M68" i="1"/>
  <c r="C61" i="1"/>
  <c r="D61" i="1"/>
  <c r="E61" i="1"/>
  <c r="F61" i="1"/>
  <c r="G61" i="1"/>
  <c r="H61" i="1"/>
  <c r="I61" i="1"/>
  <c r="J61" i="1"/>
  <c r="K61" i="1"/>
  <c r="L61" i="1"/>
  <c r="M61" i="1"/>
  <c r="C54" i="1"/>
  <c r="D54" i="1"/>
  <c r="E54" i="1"/>
  <c r="F54" i="1"/>
  <c r="G54" i="1"/>
  <c r="H54" i="1"/>
  <c r="I54" i="1"/>
  <c r="J54" i="1"/>
  <c r="K54" i="1"/>
  <c r="L54" i="1"/>
  <c r="M54" i="1"/>
  <c r="C50" i="1"/>
  <c r="D50" i="1"/>
  <c r="E50" i="1"/>
  <c r="F50" i="1"/>
  <c r="G50" i="1"/>
  <c r="H50" i="1"/>
  <c r="I50" i="1"/>
  <c r="J50" i="1"/>
  <c r="K50" i="1"/>
  <c r="L50" i="1"/>
  <c r="M50" i="1"/>
  <c r="N44" i="1"/>
  <c r="N43" i="1"/>
  <c r="N32" i="1"/>
  <c r="R33" i="1" s="1"/>
  <c r="N24" i="1"/>
  <c r="R25" i="1" s="1"/>
  <c r="N26" i="1"/>
  <c r="R28" i="1" s="1"/>
  <c r="N28" i="1"/>
  <c r="R29" i="1" s="1"/>
  <c r="N77" i="1"/>
  <c r="N78" i="1"/>
  <c r="N79" i="1"/>
  <c r="N80" i="1"/>
  <c r="N76" i="1"/>
  <c r="C75" i="1"/>
  <c r="D75" i="1"/>
  <c r="E75" i="1"/>
  <c r="F75" i="1"/>
  <c r="G75" i="1"/>
  <c r="H75" i="1"/>
  <c r="I75" i="1"/>
  <c r="J75" i="1"/>
  <c r="K75" i="1"/>
  <c r="L75" i="1"/>
  <c r="M75" i="1"/>
  <c r="B75" i="1"/>
  <c r="N25" i="1" l="1"/>
  <c r="R26" i="1" s="1"/>
  <c r="N75" i="1"/>
  <c r="B156" i="1"/>
  <c r="B166" i="1"/>
  <c r="B159" i="1"/>
  <c r="B152" i="1"/>
  <c r="B128" i="1"/>
  <c r="B116" i="1"/>
  <c r="B155" i="1" l="1"/>
  <c r="B68" i="1"/>
  <c r="B61" i="1"/>
  <c r="B54" i="1"/>
  <c r="B41" i="1"/>
  <c r="B25" i="1"/>
  <c r="B22" i="1" s="1"/>
  <c r="B13" i="1"/>
  <c r="B11" i="1" s="1"/>
  <c r="R12" i="1"/>
  <c r="O21" i="1"/>
  <c r="N70" i="1"/>
  <c r="N71" i="1"/>
  <c r="N72" i="1"/>
  <c r="N73" i="1"/>
  <c r="N69" i="1"/>
  <c r="N66" i="1"/>
  <c r="N65" i="1"/>
  <c r="N63" i="1"/>
  <c r="N62" i="1"/>
  <c r="N56" i="1"/>
  <c r="N57" i="1"/>
  <c r="N58" i="1"/>
  <c r="N59" i="1"/>
  <c r="N55" i="1"/>
  <c r="N52" i="1"/>
  <c r="N42" i="1"/>
  <c r="N41" i="1" s="1"/>
  <c r="N33" i="1"/>
  <c r="R34" i="1" s="1"/>
  <c r="N23" i="1"/>
  <c r="C152" i="1"/>
  <c r="D152" i="1"/>
  <c r="E152" i="1"/>
  <c r="F152" i="1"/>
  <c r="G152" i="1"/>
  <c r="H152" i="1"/>
  <c r="I152" i="1"/>
  <c r="J152" i="1"/>
  <c r="K152" i="1"/>
  <c r="L152" i="1"/>
  <c r="M152" i="1"/>
  <c r="C128" i="1"/>
  <c r="D128" i="1"/>
  <c r="E128" i="1"/>
  <c r="F128" i="1"/>
  <c r="G128" i="1"/>
  <c r="H128" i="1"/>
  <c r="I128" i="1"/>
  <c r="J128" i="1"/>
  <c r="K128" i="1"/>
  <c r="L128" i="1"/>
  <c r="M128" i="1"/>
  <c r="C103" i="1"/>
  <c r="C102" i="1" s="1"/>
  <c r="D103" i="1"/>
  <c r="D102" i="1" s="1"/>
  <c r="E103" i="1"/>
  <c r="E102" i="1" s="1"/>
  <c r="F103" i="1"/>
  <c r="F102" i="1" s="1"/>
  <c r="G103" i="1"/>
  <c r="G102" i="1" s="1"/>
  <c r="H103" i="1"/>
  <c r="H102" i="1" s="1"/>
  <c r="I103" i="1"/>
  <c r="I102" i="1" s="1"/>
  <c r="J103" i="1"/>
  <c r="J102" i="1" s="1"/>
  <c r="K103" i="1"/>
  <c r="K102" i="1" s="1"/>
  <c r="L103" i="1"/>
  <c r="L102" i="1" s="1"/>
  <c r="M103" i="1"/>
  <c r="M102" i="1" s="1"/>
  <c r="C93" i="1"/>
  <c r="D93" i="1"/>
  <c r="E93" i="1"/>
  <c r="F93" i="1"/>
  <c r="G93" i="1"/>
  <c r="H93" i="1"/>
  <c r="I93" i="1"/>
  <c r="J93" i="1"/>
  <c r="K93" i="1"/>
  <c r="L93" i="1"/>
  <c r="M93" i="1"/>
  <c r="C87" i="1"/>
  <c r="D87" i="1"/>
  <c r="E87" i="1"/>
  <c r="F87" i="1"/>
  <c r="G87" i="1"/>
  <c r="H87" i="1"/>
  <c r="I87" i="1"/>
  <c r="J87" i="1"/>
  <c r="K87" i="1"/>
  <c r="L87" i="1"/>
  <c r="M87" i="1"/>
  <c r="B103" i="1"/>
  <c r="B102" i="1" s="1"/>
  <c r="B93" i="1"/>
  <c r="B87" i="1"/>
  <c r="B50" i="1"/>
  <c r="N48" i="1"/>
  <c r="N49" i="1"/>
  <c r="N47" i="1"/>
  <c r="N22" i="1" l="1"/>
  <c r="R23" i="1" s="1"/>
  <c r="R24" i="1"/>
  <c r="O10" i="1"/>
  <c r="R20" i="1"/>
  <c r="N68" i="1"/>
  <c r="N61" i="1"/>
  <c r="N54" i="1"/>
  <c r="B86" i="1"/>
  <c r="B21" i="1"/>
  <c r="F86" i="1"/>
  <c r="J86" i="1"/>
  <c r="I86" i="1"/>
  <c r="M86" i="1"/>
  <c r="E86" i="1"/>
  <c r="H86" i="1"/>
  <c r="L86" i="1"/>
  <c r="D86" i="1"/>
  <c r="G86" i="1"/>
  <c r="K86" i="1"/>
  <c r="C86" i="1"/>
  <c r="B10" i="1"/>
  <c r="N50" i="1"/>
  <c r="N31" i="1" l="1"/>
  <c r="N34" i="1" s="1"/>
  <c r="N21" i="1"/>
  <c r="R21" i="1" s="1"/>
  <c r="P30" i="1"/>
  <c r="Q30" i="1" s="1"/>
  <c r="P38" i="1"/>
  <c r="Q38" i="1" s="1"/>
  <c r="P12" i="1"/>
  <c r="Q12" i="1" s="1"/>
  <c r="P39" i="1"/>
  <c r="Q39" i="1" s="1"/>
  <c r="R10" i="1"/>
  <c r="R11" i="1"/>
  <c r="O31" i="1"/>
  <c r="O34" i="1" s="1"/>
  <c r="P15" i="1"/>
  <c r="P29" i="1"/>
  <c r="Q29" i="1" s="1"/>
  <c r="P28" i="1"/>
  <c r="Q28" i="1" s="1"/>
  <c r="P19" i="1"/>
  <c r="Q19" i="1" s="1"/>
  <c r="P23" i="1"/>
  <c r="P24" i="1"/>
  <c r="Q24" i="1" s="1"/>
  <c r="P26" i="1"/>
  <c r="P33" i="1"/>
  <c r="Q33" i="1" s="1"/>
  <c r="P32" i="1"/>
  <c r="Q32" i="1" s="1"/>
  <c r="B31" i="1"/>
  <c r="B34" i="1" s="1"/>
  <c r="R22" i="1" l="1"/>
  <c r="R32" i="1"/>
  <c r="Q23" i="1"/>
  <c r="R31" i="1"/>
  <c r="Q15" i="1"/>
  <c r="P13" i="1"/>
  <c r="Q26" i="1"/>
  <c r="P25" i="1"/>
  <c r="Q25" i="1" s="1"/>
  <c r="P22" i="1" l="1"/>
  <c r="P21" i="1" s="1"/>
  <c r="Q21" i="1" s="1"/>
  <c r="P11" i="1"/>
  <c r="Q11" i="1" s="1"/>
  <c r="Q13" i="1"/>
  <c r="P10" i="1" l="1"/>
  <c r="Q22" i="1"/>
  <c r="Q10" i="1" l="1"/>
  <c r="P31" i="1"/>
  <c r="Q31" i="1" s="1"/>
  <c r="P34" i="1" l="1"/>
  <c r="Q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JCASLAP37</author>
    <author>MANUELVAL</author>
  </authors>
  <commentList>
    <comment ref="A12" authorId="0" shapeId="0" xr:uid="{3630E2F5-DB74-48D5-B381-6F134DB2167A}">
      <text>
        <r>
          <rPr>
            <b/>
            <sz val="9"/>
            <color indexed="81"/>
            <rFont val="Tahoma"/>
            <family val="2"/>
          </rPr>
          <t>JCASLAP37:</t>
        </r>
        <r>
          <rPr>
            <sz val="9"/>
            <color indexed="81"/>
            <rFont val="Tahoma"/>
            <family val="2"/>
          </rPr>
          <t xml:space="preserve">
Este cálculo debera conincidir con la cuenta 4143-01 (Ingreso por ADS)</t>
        </r>
      </text>
    </comment>
    <comment ref="A182" authorId="1" shapeId="0" xr:uid="{7B4101E9-B67C-4282-8B9E-CDC02622EC27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 SU RESUMEN OPERATIVO POR TIPO DE USUARIO
</t>
        </r>
      </text>
    </comment>
    <comment ref="A184" authorId="1" shapeId="0" xr:uid="{2D4CF32F-F421-4259-8B30-074297A53B68}">
      <text>
        <r>
          <rPr>
            <b/>
            <sz val="9"/>
            <color indexed="81"/>
            <rFont val="Tahoma"/>
            <family val="2"/>
          </rPr>
          <t>MANUELVAL:</t>
        </r>
        <r>
          <rPr>
            <sz val="9"/>
            <color indexed="81"/>
            <rFont val="Tahoma"/>
            <family val="2"/>
          </rPr>
          <t xml:space="preserve">
DEL RESUMEN OPERATIVO DEL SISTEMA LECTRURA CEL O COMERCIAL</t>
        </r>
      </text>
    </comment>
  </commentList>
</comments>
</file>

<file path=xl/sharedStrings.xml><?xml version="1.0" encoding="utf-8"?>
<sst xmlns="http://schemas.openxmlformats.org/spreadsheetml/2006/main" count="195" uniqueCount="187">
  <si>
    <t>ESTADO COMPARATIVO DE EGRESOS PRESUPUESTADO &amp; EJERCIDO</t>
  </si>
  <si>
    <t xml:space="preserve">PROGRAMA DE INDICADORES DE GESTION 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</si>
  <si>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</si>
  <si>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</si>
  <si>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</si>
  <si>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</si>
  <si>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</si>
  <si>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</si>
  <si>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</si>
  <si>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</si>
  <si>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</si>
  <si>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</si>
  <si>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</si>
  <si>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</si>
  <si>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</si>
  <si>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</si>
  <si>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Diferencia</t>
  </si>
  <si>
    <t>Ejer &amp; Ppto</t>
  </si>
  <si>
    <t>a) Ingresos propios (i+ii)</t>
  </si>
  <si>
    <t>ii) resto de los ingresos propios</t>
  </si>
  <si>
    <t>2. Egresos (A+B+C)</t>
  </si>
  <si>
    <t>a) Servicios personales</t>
  </si>
  <si>
    <t>b) Materiales y suministros</t>
  </si>
  <si>
    <t>Resultado del Ejercicio</t>
  </si>
  <si>
    <t>B) Creditos</t>
  </si>
  <si>
    <t>C) Inversiones propias</t>
  </si>
  <si>
    <t>D) Inversiones de Gobierno</t>
  </si>
  <si>
    <t>Energía Eléctrica de Operación en KW (A+B+C)</t>
  </si>
  <si>
    <t>A) Agua potable</t>
  </si>
  <si>
    <t>B) Alcantarillado</t>
  </si>
  <si>
    <t>C) Saneamiento</t>
  </si>
  <si>
    <t>Volumen de agua producida en m3</t>
  </si>
  <si>
    <t>Volumen de agua cobrado en m3 (A+B)</t>
  </si>
  <si>
    <t>Padrón de usuarios</t>
  </si>
  <si>
    <t>Total de conexiones de agua (A+B)</t>
  </si>
  <si>
    <t>A) Conexiones de servicio medido  (a+b+c+d+e)</t>
  </si>
  <si>
    <t>B) Conexiones de cuota fija (a+b+c+d+e)</t>
  </si>
  <si>
    <t xml:space="preserve">Analítico del Rezago </t>
  </si>
  <si>
    <t>Monto del Rezago (A+B+C)</t>
  </si>
  <si>
    <t>A) Rezago cobrable (a+b+c)</t>
  </si>
  <si>
    <t xml:space="preserve">Coberturas de servicios </t>
  </si>
  <si>
    <t>Presion minima de suministro en la red (mca)</t>
  </si>
  <si>
    <t>Presión media de suministro en la red (mca)</t>
  </si>
  <si>
    <t>Presion maxima de suministro en la red (mca)</t>
  </si>
  <si>
    <t>Longitud de tubería de distribución  rehabilitada (Km)</t>
  </si>
  <si>
    <t>Longitud total de tubería de distribución (km)</t>
  </si>
  <si>
    <t>No. de micromedidores funcionando</t>
  </si>
  <si>
    <t>No. de macromedidores funcionando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</si>
  <si>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</si>
  <si>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</si>
  <si>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</si>
  <si>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</si>
  <si>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</si>
  <si>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</si>
  <si>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Numero de fugas por Km/mes</t>
  </si>
  <si>
    <t>Recursos humanos</t>
  </si>
  <si>
    <t>b) Comercialización</t>
  </si>
  <si>
    <t>c) Operación</t>
  </si>
  <si>
    <t>B) Pensionados y jubilados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</si>
  <si>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</si>
  <si>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</si>
  <si>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</si>
  <si>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</si>
  <si>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</si>
  <si>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</si>
  <si>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</si>
  <si>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</si>
  <si>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Desglose Consumo Eléctrico</t>
  </si>
  <si>
    <t>kwh Básico</t>
  </si>
  <si>
    <t>kwh Intermedio</t>
  </si>
  <si>
    <t>kwh Pico (Excedente)</t>
  </si>
  <si>
    <t>kwh Totales</t>
  </si>
  <si>
    <t>Presupuesto Anual</t>
  </si>
  <si>
    <t>Presupuesto Acumulado del Periodo</t>
  </si>
  <si>
    <t>ii) Resto de los Servicios</t>
  </si>
  <si>
    <t>c) Servicios Generales (i+ii)</t>
  </si>
  <si>
    <r>
      <t xml:space="preserve">Superavit / </t>
    </r>
    <r>
      <rPr>
        <b/>
        <i/>
        <sz val="11"/>
        <color rgb="FFFF0000"/>
        <rFont val="Arial"/>
        <family val="2"/>
      </rPr>
      <t>Deficit</t>
    </r>
  </si>
  <si>
    <t>Volumen de agua facturada (medida) en m3 (A+B+C+D+E)</t>
  </si>
  <si>
    <t>Facturación de Agua, Drenaje y Saneamiento en $ (A+B+C+D+E)</t>
  </si>
  <si>
    <t>Total de descargas de drenaje</t>
  </si>
  <si>
    <t xml:space="preserve">a) Administración           </t>
  </si>
  <si>
    <r>
      <t xml:space="preserve">     </t>
    </r>
    <r>
      <rPr>
        <b/>
        <sz val="11"/>
        <rFont val="Arial"/>
        <family val="2"/>
      </rPr>
      <t>i.</t>
    </r>
    <r>
      <rPr>
        <sz val="11"/>
        <rFont val="Arial"/>
        <family val="2"/>
      </rPr>
      <t xml:space="preserve"> Confianza</t>
    </r>
  </si>
  <si>
    <r>
      <t xml:space="preserve">   </t>
    </r>
    <r>
      <rPr>
        <b/>
        <sz val="11"/>
        <rFont val="Arial"/>
        <family val="2"/>
      </rPr>
      <t xml:space="preserve">  ii.</t>
    </r>
    <r>
      <rPr>
        <sz val="11"/>
        <rFont val="Arial"/>
        <family val="2"/>
      </rPr>
      <t xml:space="preserve"> Sindicalizado</t>
    </r>
  </si>
  <si>
    <t>Cobrado de Agua, Drenaje y Saneamiento en $ (A+B+C+D+E)</t>
  </si>
  <si>
    <t>No. de habitantes con servicio de agua potable (operativo)</t>
  </si>
  <si>
    <t>No. de habitantes con servicio de alcantarillado (operativo)</t>
  </si>
  <si>
    <t>No. de usuarios con pagos a tiempo (operativo)</t>
  </si>
  <si>
    <t>No. de usuarios con descuento social (operativo)</t>
  </si>
  <si>
    <t>Del 1ro. de Enero al 31 de Diciembre del 2023</t>
  </si>
  <si>
    <t>B) De 3 a 6 meses</t>
  </si>
  <si>
    <t>A) 1 y 2 meses</t>
  </si>
  <si>
    <t>C) De 7 a 12 meses</t>
  </si>
  <si>
    <t>D) 13 meses en delante</t>
  </si>
  <si>
    <t>No. De tomas con rezago (A+B+C+D)</t>
  </si>
  <si>
    <t>A) Usuarios en consumo de 0 m3</t>
  </si>
  <si>
    <t>B) Usuarios en consumo de 1 - 10 m3</t>
  </si>
  <si>
    <t>C) Usuarios en consumo de 11 - 15 m3</t>
  </si>
  <si>
    <t>D) Usuarios en consumo de 16 - 20 m3</t>
  </si>
  <si>
    <t>Total de usuarios en consumo de 0 a 20 m3 (A+B+C+D)</t>
  </si>
  <si>
    <t xml:space="preserve"> A) Tarifa domestica de 0 a 10 m3</t>
  </si>
  <si>
    <t xml:space="preserve"> B) Tarifa domestica de 15 m3</t>
  </si>
  <si>
    <t xml:space="preserve"> C) Tarifa domestica de 20 m3</t>
  </si>
  <si>
    <t>Precio de tarifas domesticas (A+B+C)</t>
  </si>
  <si>
    <t>No. habitantes según censo de INEGI (Localidad)</t>
  </si>
  <si>
    <t>d) Eventuales (al dia ultimo de mes)</t>
  </si>
  <si>
    <t>A) Empleados Activos (a+b+c+d)</t>
  </si>
  <si>
    <t>Saldo en Bancos</t>
  </si>
  <si>
    <t>e) Otros Gastos</t>
  </si>
  <si>
    <t>DFEA</t>
  </si>
  <si>
    <t>5% JCAS</t>
  </si>
  <si>
    <t>b) Descuento social (numero en negativo)</t>
  </si>
  <si>
    <t>c) Bonificaciones (numero en negativo)</t>
  </si>
  <si>
    <t>A) Doméstico m3</t>
  </si>
  <si>
    <t>B) Comercial m3</t>
  </si>
  <si>
    <t>C) Industrial m3</t>
  </si>
  <si>
    <t>D) Escolar m3</t>
  </si>
  <si>
    <t>E) Público m3</t>
  </si>
  <si>
    <t>A) A Tiempo m3</t>
  </si>
  <si>
    <t>B) Con Rezago m3</t>
  </si>
  <si>
    <t>A) Doméstico facturado</t>
  </si>
  <si>
    <t>B) Comercial facturado</t>
  </si>
  <si>
    <t>C) Industrial facturado</t>
  </si>
  <si>
    <t>D) Escolar facturado</t>
  </si>
  <si>
    <t>E) Público facturado</t>
  </si>
  <si>
    <t>A) Doméstico cobrado</t>
  </si>
  <si>
    <t>B) Comercial cobrado</t>
  </si>
  <si>
    <t>C) Industrial cobrado</t>
  </si>
  <si>
    <t>D) Escolar cobrado</t>
  </si>
  <si>
    <t>E) Público cobrado</t>
  </si>
  <si>
    <t>b) Con rezago $</t>
  </si>
  <si>
    <t>a) A tiempo $</t>
  </si>
  <si>
    <t>a) Doméstico servicio medido</t>
  </si>
  <si>
    <t>b) Comercial servicio medido</t>
  </si>
  <si>
    <t>c) Industrial servicio medido</t>
  </si>
  <si>
    <t>d) Escolar servicio medido</t>
  </si>
  <si>
    <t>e) Público servicio medido</t>
  </si>
  <si>
    <t>a) Doméstico cuota fija</t>
  </si>
  <si>
    <t>b) Comercial cuota fija</t>
  </si>
  <si>
    <t>c) Industrial cuota fija</t>
  </si>
  <si>
    <t>d) Escolar cuota fija</t>
  </si>
  <si>
    <t>e) Público cuota fija</t>
  </si>
  <si>
    <t>a) Doméstico rezago</t>
  </si>
  <si>
    <t>b) Comercial rezago</t>
  </si>
  <si>
    <t>c) Industrial rezago</t>
  </si>
  <si>
    <t>B) Escolar rezago</t>
  </si>
  <si>
    <t>C) Público rezago</t>
  </si>
  <si>
    <t>C) Ingresos indirectos</t>
  </si>
  <si>
    <t>d) Transferencias, asignaciones, subsidios y ayudas</t>
  </si>
  <si>
    <t>1. Ingresos  (A+C)</t>
  </si>
  <si>
    <t>A) Ingresos propios netos (a+b+c)</t>
  </si>
  <si>
    <t>B) Ingresos por agua, alcantarillado y saneamiento netos (i+b+c)</t>
  </si>
  <si>
    <t>i) ingresos por agua, alcantarillado y saneamiento brutos</t>
  </si>
  <si>
    <t>d) Ajustes (numero en negativo) (DATO INFORMATIVO)</t>
  </si>
  <si>
    <t>i) Energía eléctrica</t>
  </si>
  <si>
    <t>Energía eléctrica (para suministro de agua) (DATO INFORMATIVO)</t>
  </si>
  <si>
    <t>A) Gastos de operación (a+b+c+d+e)</t>
  </si>
  <si>
    <t>Volumen de agua residual (por tratar) en m3 (Entrada a PTAR)</t>
  </si>
  <si>
    <t>Volumen de agua tratada en m3 (Salida de PTAR)</t>
  </si>
  <si>
    <t>No. de micromedidores fuera de servicio</t>
  </si>
  <si>
    <t>No. de micromedidores instalados nuevos en el mes</t>
  </si>
  <si>
    <t>No. de macromedidores fuera de servicio</t>
  </si>
  <si>
    <t>No. de macromedidores repuestos</t>
  </si>
  <si>
    <t>No. de micromedidores repuestos</t>
  </si>
  <si>
    <t>FACTURACION  EN $ Y M3   CERVECERIA</t>
  </si>
  <si>
    <t xml:space="preserve">Volumen de agua facturada en m3 </t>
  </si>
  <si>
    <t>Facturación de Agua, Alcant. y Saneamiento en $</t>
  </si>
  <si>
    <t xml:space="preserve">Cobrado de Agua, Alcant. y Saneamiento en $ </t>
  </si>
  <si>
    <t xml:space="preserve">domestico </t>
  </si>
  <si>
    <t xml:space="preserve">comercial </t>
  </si>
  <si>
    <t>industrial</t>
  </si>
  <si>
    <t xml:space="preserve">escolar </t>
  </si>
  <si>
    <t>publico</t>
  </si>
  <si>
    <t>facturación</t>
  </si>
  <si>
    <t>cobrado a tiempo</t>
  </si>
  <si>
    <t>Fact sin cerveceria</t>
  </si>
  <si>
    <t>Cobrado sin cerveceria</t>
  </si>
  <si>
    <t>eficiencia</t>
  </si>
  <si>
    <t>eficiencia a tiempo</t>
  </si>
  <si>
    <t>AGUA CRUDA</t>
  </si>
  <si>
    <t>JUNTA MUNICIPAL DE AGUA Y SANEAMIENTO DE MEOQUI</t>
  </si>
  <si>
    <t>CFE</t>
  </si>
  <si>
    <t xml:space="preserve">CNA    M3 </t>
  </si>
  <si>
    <t xml:space="preserve">GASTOS </t>
  </si>
  <si>
    <t>C. JOSE LUIS CISNEROS CARLOS</t>
  </si>
  <si>
    <t>DIRECTOR EJECUTIVO</t>
  </si>
  <si>
    <t>C.P. ROSA MARIA PIÑON ANCHONDO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</si>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</sst>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5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theme="0"/>
      <name val="Arial"/>
      <family val="2"/>
    </font>
    <font>
      <b/>
      <i/>
      <sz val="11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43" fontId="13" fillId="2" borderId="3" xfId="1" applyFont="1" applyFill="1" applyBorder="1" applyAlignment="1" applyProtection="1">
      <alignment horizontal="right" vertical="center"/>
    </xf>
    <xf numFmtId="9" fontId="13" fillId="2" borderId="4" xfId="2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</xf>
    <xf numFmtId="9" fontId="15" fillId="0" borderId="7" xfId="2" applyFont="1" applyFill="1" applyBorder="1" applyAlignment="1" applyProtection="1">
      <alignment horizontal="right" vertical="center"/>
    </xf>
    <xf numFmtId="43" fontId="13" fillId="2" borderId="6" xfId="1" applyFont="1" applyFill="1" applyBorder="1" applyAlignment="1" applyProtection="1">
      <alignment horizontal="right" vertical="center"/>
    </xf>
    <xf numFmtId="43" fontId="13" fillId="0" borderId="6" xfId="1" applyFont="1" applyFill="1" applyBorder="1" applyAlignment="1" applyProtection="1">
      <alignment horizontal="right" vertical="center"/>
    </xf>
    <xf numFmtId="43" fontId="15" fillId="0" borderId="6" xfId="1" applyFont="1" applyFill="1" applyBorder="1" applyAlignment="1" applyProtection="1">
      <alignment horizontal="right" vertical="center"/>
      <protection locked="0"/>
    </xf>
    <xf numFmtId="164" fontId="15" fillId="0" borderId="6" xfId="1" applyNumberFormat="1" applyFont="1" applyFill="1" applyBorder="1" applyAlignment="1" applyProtection="1">
      <alignment horizontal="right" vertical="center"/>
    </xf>
    <xf numFmtId="164" fontId="13" fillId="2" borderId="6" xfId="1" applyNumberFormat="1" applyFont="1" applyFill="1" applyBorder="1" applyAlignment="1" applyProtection="1">
      <alignment horizontal="right" vertical="center"/>
    </xf>
    <xf numFmtId="164" fontId="13" fillId="0" borderId="6" xfId="1" applyNumberFormat="1" applyFont="1" applyFill="1" applyBorder="1" applyAlignment="1" applyProtection="1">
      <alignment horizontal="right" vertical="center"/>
    </xf>
    <xf numFmtId="164" fontId="15" fillId="0" borderId="6" xfId="1" applyNumberFormat="1" applyFont="1" applyFill="1" applyBorder="1" applyAlignment="1" applyProtection="1">
      <alignment horizontal="right" vertical="center"/>
      <protection locked="0"/>
    </xf>
    <xf numFmtId="164" fontId="15" fillId="0" borderId="9" xfId="1" applyNumberFormat="1" applyFont="1" applyFill="1" applyBorder="1" applyAlignment="1" applyProtection="1">
      <alignment horizontal="right" vertical="center"/>
      <protection locked="0"/>
    </xf>
    <xf numFmtId="9" fontId="15" fillId="0" borderId="6" xfId="2" applyFont="1" applyFill="1" applyBorder="1" applyAlignment="1" applyProtection="1">
      <alignment horizontal="right" vertical="center"/>
      <protection locked="0"/>
    </xf>
    <xf numFmtId="43" fontId="15" fillId="7" borderId="6" xfId="1" applyFont="1" applyFill="1" applyBorder="1" applyAlignment="1" applyProtection="1">
      <alignment horizontal="right" vertical="center"/>
      <protection locked="0"/>
    </xf>
    <xf numFmtId="43" fontId="15" fillId="3" borderId="6" xfId="1" applyFont="1" applyFill="1" applyBorder="1" applyAlignment="1" applyProtection="1">
      <alignment horizontal="right" vertical="center"/>
    </xf>
    <xf numFmtId="43" fontId="13" fillId="7" borderId="6" xfId="1" applyFont="1" applyFill="1" applyBorder="1" applyAlignment="1" applyProtection="1">
      <alignment horizontal="right" vertical="center"/>
      <protection locked="0"/>
    </xf>
    <xf numFmtId="164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3" fillId="7" borderId="6" xfId="1" applyNumberFormat="1" applyFont="1" applyFill="1" applyBorder="1" applyAlignment="1" applyProtection="1">
      <alignment horizontal="right" vertical="center"/>
      <protection locked="0"/>
    </xf>
    <xf numFmtId="165" fontId="15" fillId="7" borderId="6" xfId="1" applyNumberFormat="1" applyFont="1" applyFill="1" applyBorder="1" applyAlignment="1" applyProtection="1">
      <alignment horizontal="right" vertical="center"/>
      <protection locked="0"/>
    </xf>
    <xf numFmtId="164" fontId="17" fillId="7" borderId="6" xfId="1" applyNumberFormat="1" applyFont="1" applyFill="1" applyBorder="1" applyAlignment="1" applyProtection="1">
      <alignment horizontal="right" vertical="center"/>
      <protection locked="0"/>
    </xf>
    <xf numFmtId="164" fontId="15" fillId="7" borderId="9" xfId="1" applyNumberFormat="1" applyFont="1" applyFill="1" applyBorder="1" applyAlignment="1" applyProtection="1">
      <alignment horizontal="right" vertical="center"/>
      <protection locked="0"/>
    </xf>
    <xf numFmtId="164" fontId="18" fillId="0" borderId="7" xfId="1" applyNumberFormat="1" applyFont="1" applyFill="1" applyBorder="1" applyAlignment="1" applyProtection="1">
      <alignment horizontal="right" vertical="center"/>
    </xf>
    <xf numFmtId="43" fontId="15" fillId="8" borderId="6" xfId="1" applyFont="1" applyFill="1" applyBorder="1" applyAlignment="1" applyProtection="1">
      <alignment horizontal="right" vertical="center"/>
    </xf>
    <xf numFmtId="9" fontId="15" fillId="8" borderId="7" xfId="2" applyFont="1" applyFill="1" applyBorder="1" applyAlignment="1" applyProtection="1">
      <alignment horizontal="right" vertical="center"/>
    </xf>
    <xf numFmtId="43" fontId="15" fillId="9" borderId="6" xfId="1" applyFont="1" applyFill="1" applyBorder="1" applyAlignment="1" applyProtection="1">
      <alignment horizontal="right" vertical="center"/>
      <protection locked="0"/>
    </xf>
    <xf numFmtId="43" fontId="15" fillId="9" borderId="6" xfId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4" borderId="0" xfId="3" applyFont="1" applyFill="1" applyProtection="1">
      <protection locked="0"/>
    </xf>
    <xf numFmtId="0" fontId="8" fillId="0" borderId="0" xfId="0" applyFont="1" applyProtection="1">
      <protection locked="0"/>
    </xf>
    <xf numFmtId="1" fontId="9" fillId="0" borderId="0" xfId="3" applyNumberFormat="1" applyFont="1" applyAlignment="1" applyProtection="1">
      <alignment horizontal="center"/>
      <protection locked="0"/>
    </xf>
    <xf numFmtId="1" fontId="10" fillId="0" borderId="0" xfId="3" applyNumberFormat="1" applyFont="1" applyAlignment="1" applyProtection="1">
      <alignment horizontal="center"/>
      <protection locked="0"/>
    </xf>
    <xf numFmtId="0" fontId="4" fillId="0" borderId="0" xfId="3" applyFont="1" applyProtection="1">
      <protection locked="0"/>
    </xf>
    <xf numFmtId="0" fontId="11" fillId="6" borderId="1" xfId="3" applyFont="1" applyFill="1" applyBorder="1" applyAlignment="1" applyProtection="1">
      <alignment horizontal="center" vertical="center"/>
      <protection locked="0"/>
    </xf>
    <xf numFmtId="1" fontId="11" fillId="6" borderId="1" xfId="3" applyNumberFormat="1" applyFont="1" applyFill="1" applyBorder="1" applyAlignment="1" applyProtection="1">
      <alignment horizontal="center" vertical="center" wrapText="1"/>
      <protection locked="0"/>
    </xf>
    <xf numFmtId="1" fontId="12" fillId="6" borderId="1" xfId="3" applyNumberFormat="1" applyFont="1" applyFill="1" applyBorder="1" applyAlignment="1" applyProtection="1">
      <alignment horizontal="center" vertical="center" wrapText="1"/>
      <protection locked="0"/>
    </xf>
    <xf numFmtId="43" fontId="13" fillId="2" borderId="3" xfId="1" applyFont="1" applyFill="1" applyBorder="1" applyAlignment="1" applyProtection="1">
      <alignment horizontal="right" vertical="center"/>
      <protection locked="0"/>
    </xf>
    <xf numFmtId="9" fontId="13" fillId="2" borderId="4" xfId="2" applyFont="1" applyFill="1" applyBorder="1" applyAlignment="1" applyProtection="1">
      <alignment horizontal="right" vertical="center"/>
      <protection locked="0"/>
    </xf>
    <xf numFmtId="9" fontId="15" fillId="0" borderId="7" xfId="2" applyFont="1" applyFill="1" applyBorder="1" applyAlignment="1" applyProtection="1">
      <alignment horizontal="right" vertical="center"/>
      <protection locked="0"/>
    </xf>
    <xf numFmtId="166" fontId="15" fillId="7" borderId="6" xfId="1" applyNumberFormat="1" applyFont="1" applyFill="1" applyBorder="1" applyAlignment="1" applyProtection="1">
      <alignment horizontal="right" vertical="center"/>
      <protection locked="0"/>
    </xf>
    <xf numFmtId="43" fontId="15" fillId="0" borderId="12" xfId="1" applyFont="1" applyFill="1" applyBorder="1" applyAlignment="1" applyProtection="1">
      <alignment horizontal="right" vertical="center"/>
      <protection locked="0"/>
    </xf>
    <xf numFmtId="43" fontId="13" fillId="2" borderId="6" xfId="1" applyFont="1" applyFill="1" applyBorder="1" applyAlignment="1" applyProtection="1">
      <alignment horizontal="right" vertical="center"/>
      <protection locked="0"/>
    </xf>
    <xf numFmtId="43" fontId="13" fillId="0" borderId="6" xfId="1" applyFont="1" applyFill="1" applyBorder="1" applyAlignment="1" applyProtection="1">
      <alignment horizontal="right" vertical="center"/>
      <protection locked="0"/>
    </xf>
    <xf numFmtId="9" fontId="13" fillId="2" borderId="7" xfId="2" applyFont="1" applyFill="1" applyBorder="1" applyAlignment="1" applyProtection="1">
      <alignment horizontal="right" vertical="center"/>
      <protection locked="0"/>
    </xf>
    <xf numFmtId="43" fontId="15" fillId="8" borderId="9" xfId="1" applyFont="1" applyFill="1" applyBorder="1" applyAlignment="1" applyProtection="1">
      <alignment horizontal="right" vertical="center"/>
      <protection locked="0"/>
    </xf>
    <xf numFmtId="0" fontId="0" fillId="8" borderId="0" xfId="0" applyFill="1" applyProtection="1">
      <protection locked="0"/>
    </xf>
    <xf numFmtId="43" fontId="15" fillId="0" borderId="11" xfId="1" applyFont="1" applyFill="1" applyBorder="1" applyAlignment="1" applyProtection="1">
      <alignment horizontal="right" vertical="center"/>
      <protection locked="0"/>
    </xf>
    <xf numFmtId="164" fontId="13" fillId="2" borderId="6" xfId="1" applyNumberFormat="1" applyFont="1" applyFill="1" applyBorder="1" applyAlignment="1" applyProtection="1">
      <alignment horizontal="right" vertical="center"/>
      <protection locked="0"/>
    </xf>
    <xf numFmtId="164" fontId="13" fillId="0" borderId="6" xfId="1" applyNumberFormat="1" applyFont="1" applyFill="1" applyBorder="1" applyAlignment="1" applyProtection="1">
      <alignment horizontal="right" vertical="center"/>
      <protection locked="0"/>
    </xf>
    <xf numFmtId="9" fontId="13" fillId="0" borderId="7" xfId="2" applyFont="1" applyFill="1" applyBorder="1" applyAlignment="1" applyProtection="1">
      <alignment horizontal="right" vertical="center"/>
      <protection locked="0"/>
    </xf>
    <xf numFmtId="164" fontId="13" fillId="9" borderId="6" xfId="1" applyNumberFormat="1" applyFont="1" applyFill="1" applyBorder="1" applyAlignment="1" applyProtection="1">
      <alignment horizontal="right" vertical="center"/>
      <protection locked="0"/>
    </xf>
    <xf numFmtId="43" fontId="13" fillId="9" borderId="6" xfId="1" applyFont="1" applyFill="1" applyBorder="1" applyAlignment="1" applyProtection="1">
      <alignment horizontal="right" vertical="center"/>
      <protection locked="0"/>
    </xf>
    <xf numFmtId="0" fontId="15" fillId="0" borderId="5" xfId="0" applyFont="1" applyBorder="1" applyAlignment="1" applyProtection="1">
      <alignment horizontal="left" vertical="center" indent="4"/>
      <protection locked="0"/>
    </xf>
    <xf numFmtId="0" fontId="15" fillId="0" borderId="5" xfId="0" applyFont="1" applyBorder="1" applyAlignment="1" applyProtection="1">
      <alignment horizontal="left" vertical="center" indent="2"/>
      <protection locked="0"/>
    </xf>
    <xf numFmtId="43" fontId="15" fillId="0" borderId="9" xfId="1" applyFont="1" applyFill="1" applyBorder="1" applyAlignment="1" applyProtection="1">
      <alignment horizontal="right" vertical="center"/>
      <protection locked="0"/>
    </xf>
    <xf numFmtId="9" fontId="15" fillId="0" borderId="10" xfId="2" applyFont="1" applyFill="1" applyBorder="1" applyAlignment="1" applyProtection="1">
      <alignment horizontal="right" vertical="center"/>
      <protection locked="0"/>
    </xf>
    <xf numFmtId="164" fontId="4" fillId="0" borderId="0" xfId="3" applyNumberFormat="1" applyFont="1" applyProtection="1">
      <protection locked="0"/>
    </xf>
    <xf numFmtId="9" fontId="15" fillId="0" borderId="6" xfId="2" applyFont="1" applyFill="1" applyBorder="1" applyAlignment="1" applyProtection="1">
      <alignment horizontal="right" vertical="center"/>
    </xf>
    <xf numFmtId="165" fontId="15" fillId="0" borderId="6" xfId="1" applyNumberFormat="1" applyFont="1" applyFill="1" applyBorder="1" applyAlignment="1" applyProtection="1">
      <alignment horizontal="right" vertical="center"/>
    </xf>
    <xf numFmtId="43" fontId="15" fillId="2" borderId="6" xfId="1" applyFont="1" applyFill="1" applyBorder="1" applyAlignment="1" applyProtection="1">
      <alignment horizontal="right" vertical="center"/>
      <protection locked="0"/>
    </xf>
    <xf numFmtId="43" fontId="15" fillId="2" borderId="6" xfId="1" applyFont="1" applyFill="1" applyBorder="1" applyAlignment="1" applyProtection="1">
      <alignment horizontal="right" vertical="center"/>
    </xf>
    <xf numFmtId="9" fontId="15" fillId="2" borderId="7" xfId="2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Protection="1">
      <protection locked="0"/>
    </xf>
    <xf numFmtId="0" fontId="11" fillId="0" borderId="1" xfId="3" applyFont="1" applyBorder="1" applyAlignment="1" applyProtection="1">
      <alignment horizontal="center" vertical="center"/>
      <protection locked="0"/>
    </xf>
    <xf numFmtId="1" fontId="11" fillId="0" borderId="1" xfId="3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left" vertical="center" indent="2"/>
    </xf>
    <xf numFmtId="0" fontId="14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6"/>
    </xf>
    <xf numFmtId="0" fontId="15" fillId="0" borderId="5" xfId="0" applyFont="1" applyBorder="1" applyAlignment="1">
      <alignment horizontal="left" vertical="center" indent="4"/>
    </xf>
    <xf numFmtId="0" fontId="15" fillId="0" borderId="5" xfId="0" applyFont="1" applyBorder="1" applyAlignment="1">
      <alignment horizontal="left" vertical="center" indent="2"/>
    </xf>
    <xf numFmtId="0" fontId="6" fillId="2" borderId="5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right" vertical="center"/>
    </xf>
    <xf numFmtId="0" fontId="15" fillId="8" borderId="8" xfId="0" applyFont="1" applyFill="1" applyBorder="1" applyAlignment="1">
      <alignment horizontal="left" vertical="center" indent="2"/>
    </xf>
    <xf numFmtId="0" fontId="15" fillId="0" borderId="11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5" xfId="0" applyFont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 indent="2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/>
    </xf>
    <xf numFmtId="0" fontId="6" fillId="9" borderId="5" xfId="0" applyFont="1" applyFill="1" applyBorder="1" applyAlignment="1">
      <alignment horizontal="left" vertical="center" indent="2"/>
    </xf>
    <xf numFmtId="0" fontId="13" fillId="9" borderId="5" xfId="0" applyFont="1" applyFill="1" applyBorder="1" applyAlignment="1">
      <alignment horizontal="left" vertical="center" indent="2"/>
    </xf>
    <xf numFmtId="0" fontId="6" fillId="9" borderId="5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1" fontId="7" fillId="5" borderId="0" xfId="3" applyNumberFormat="1" applyFont="1" applyFill="1" applyProtection="1">
      <protection locked="0"/>
    </xf>
    <xf numFmtId="166" fontId="15" fillId="7" borderId="6" xfId="1" quotePrefix="1" applyNumberFormat="1" applyFont="1" applyFill="1" applyBorder="1" applyAlignment="1" applyProtection="1">
      <alignment horizontal="right" vertical="center"/>
      <protection locked="0"/>
    </xf>
    <xf numFmtId="9" fontId="15" fillId="0" borderId="13" xfId="2" applyFont="1" applyFill="1" applyBorder="1" applyAlignment="1" applyProtection="1">
      <alignment horizontal="right" vertical="center"/>
      <protection locked="0"/>
    </xf>
    <xf numFmtId="43" fontId="15" fillId="7" borderId="3" xfId="1" applyFont="1" applyFill="1" applyBorder="1" applyAlignment="1" applyProtection="1">
      <alignment horizontal="right" vertical="center"/>
      <protection locked="0"/>
    </xf>
    <xf numFmtId="43" fontId="15" fillId="0" borderId="3" xfId="1" applyFont="1" applyFill="1" applyBorder="1" applyAlignment="1" applyProtection="1">
      <alignment horizontal="right" vertical="center"/>
    </xf>
    <xf numFmtId="43" fontId="15" fillId="0" borderId="3" xfId="1" applyFont="1" applyFill="1" applyBorder="1" applyAlignment="1" applyProtection="1">
      <alignment horizontal="right" vertical="center"/>
      <protection locked="0"/>
    </xf>
    <xf numFmtId="9" fontId="15" fillId="0" borderId="4" xfId="2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left" vertical="center"/>
    </xf>
    <xf numFmtId="43" fontId="15" fillId="7" borderId="9" xfId="1" applyFont="1" applyFill="1" applyBorder="1" applyAlignment="1" applyProtection="1">
      <alignment horizontal="right" vertical="center"/>
      <protection locked="0"/>
    </xf>
    <xf numFmtId="43" fontId="15" fillId="0" borderId="9" xfId="1" applyFont="1" applyFill="1" applyBorder="1" applyAlignment="1" applyProtection="1">
      <alignment horizontal="right" vertical="center"/>
    </xf>
    <xf numFmtId="9" fontId="15" fillId="0" borderId="10" xfId="2" applyFont="1" applyFill="1" applyBorder="1" applyAlignment="1" applyProtection="1">
      <alignment horizontal="right" vertical="center"/>
    </xf>
    <xf numFmtId="9" fontId="15" fillId="0" borderId="15" xfId="2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8" fillId="0" borderId="0" xfId="0" applyFont="1"/>
    <xf numFmtId="9" fontId="0" fillId="0" borderId="0" xfId="2" applyFont="1"/>
    <xf numFmtId="43" fontId="0" fillId="0" borderId="0" xfId="0" applyNumberFormat="1"/>
    <xf numFmtId="164" fontId="15" fillId="7" borderId="6" xfId="5" applyNumberFormat="1" applyFont="1" applyFill="1" applyBorder="1" applyAlignment="1" applyProtection="1">
      <alignment horizontal="right" vertical="center"/>
      <protection locked="0"/>
    </xf>
    <xf numFmtId="164" fontId="15" fillId="7" borderId="6" xfId="6" applyNumberFormat="1" applyFont="1" applyFill="1" applyBorder="1" applyAlignment="1" applyProtection="1">
      <alignment horizontal="right" vertical="center"/>
      <protection locked="0"/>
    </xf>
    <xf numFmtId="43" fontId="15" fillId="7" borderId="6" xfId="6" applyFont="1" applyFill="1" applyBorder="1" applyAlignment="1" applyProtection="1">
      <alignment horizontal="right" vertical="center"/>
      <protection locked="0"/>
    </xf>
    <xf numFmtId="1" fontId="6" fillId="4" borderId="0" xfId="3" applyNumberFormat="1" applyFont="1" applyFill="1" applyAlignment="1" applyProtection="1">
      <alignment horizontal="center"/>
      <protection locked="0"/>
    </xf>
    <xf numFmtId="1" fontId="5" fillId="4" borderId="0" xfId="3" applyNumberFormat="1" applyFont="1" applyFill="1" applyAlignment="1" applyProtection="1">
      <alignment horizontal="center"/>
      <protection locked="0"/>
    </xf>
    <xf numFmtId="1" fontId="2" fillId="4" borderId="0" xfId="0" applyNumberFormat="1" applyFont="1" applyFill="1" applyAlignment="1" applyProtection="1">
      <alignment horizontal="center"/>
      <protection locked="0"/>
    </xf>
    <xf numFmtId="1" fontId="7" fillId="5" borderId="0" xfId="3" applyNumberFormat="1" applyFont="1" applyFill="1" applyAlignment="1" applyProtection="1">
      <alignment horizontal="center"/>
      <protection locked="0"/>
    </xf>
  </cellXfs>
  <cellStyles count="7">
    <cellStyle name="Millares" xfId="1" builtinId="3"/>
    <cellStyle name="Millares 2" xfId="4" xr:uid="{C9690672-5839-4AC7-B812-9A58418980CF}"/>
    <cellStyle name="Millares 2 2" xfId="6" xr:uid="{86E748F2-3E85-4D31-9C02-26DEAD12EB13}"/>
    <cellStyle name="Millares 3" xfId="5" xr:uid="{F47D343C-E299-456D-B86A-45050770254B}"/>
    <cellStyle name="Normal" xfId="0" builtinId="0"/>
    <cellStyle name="Normal_FORMATO DEL PPTO. 2002  SEPT. 4" xfId="3" xr:uid="{00000000-0005-0000-0000-000002000000}"/>
    <cellStyle name="Porcentaje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7"/>
  <sheetViews>
    <sheetView tabSelected="1" topLeftCell="G4" zoomScale="110" zoomScaleNormal="110" workbookViewId="0">
      <selection activeCell="S22" sqref="S22"/>
    </sheetView>
  </sheetViews>
  <sheetFormatPr baseColWidth="10" defaultRowHeight="15" x14ac:dyDescent="0.25"/>
  <cols>
    <col min="1" max="1" width="74.140625" style="32" customWidth="1"/>
    <col min="2" max="2" width="19.7109375" style="32" customWidth="1"/>
    <col min="3" max="13" width="18.140625" style="32" customWidth="1"/>
    <col min="14" max="14" width="17.140625" style="32" customWidth="1"/>
    <col min="15" max="15" width="21" style="32" customWidth="1"/>
    <col min="16" max="16" width="19.5703125" style="32" customWidth="1"/>
    <col min="17" max="17" width="19.85546875" style="32" customWidth="1"/>
    <col min="18" max="18" width="11.42578125" style="32"/>
    <col min="19" max="257" width="11.42578125" style="27"/>
    <col min="258" max="258" width="71.28515625" style="27" bestFit="1" customWidth="1"/>
    <col min="259" max="260" width="15.5703125" style="27" bestFit="1" customWidth="1"/>
    <col min="261" max="271" width="11.42578125" style="27"/>
    <col min="272" max="272" width="14.85546875" style="27" customWidth="1"/>
    <col min="273" max="273" width="14.5703125" style="27" customWidth="1"/>
    <col min="274" max="513" width="11.42578125" style="27"/>
    <col min="514" max="514" width="71.28515625" style="27" bestFit="1" customWidth="1"/>
    <col min="515" max="516" width="15.5703125" style="27" bestFit="1" customWidth="1"/>
    <col min="517" max="527" width="11.42578125" style="27"/>
    <col min="528" max="528" width="14.85546875" style="27" customWidth="1"/>
    <col min="529" max="529" width="14.5703125" style="27" customWidth="1"/>
    <col min="530" max="769" width="11.42578125" style="27"/>
    <col min="770" max="770" width="71.28515625" style="27" bestFit="1" customWidth="1"/>
    <col min="771" max="772" width="15.5703125" style="27" bestFit="1" customWidth="1"/>
    <col min="773" max="783" width="11.42578125" style="27"/>
    <col min="784" max="784" width="14.85546875" style="27" customWidth="1"/>
    <col min="785" max="785" width="14.5703125" style="27" customWidth="1"/>
    <col min="786" max="1025" width="11.42578125" style="27"/>
    <col min="1026" max="1026" width="71.28515625" style="27" bestFit="1" customWidth="1"/>
    <col min="1027" max="1028" width="15.5703125" style="27" bestFit="1" customWidth="1"/>
    <col min="1029" max="1039" width="11.42578125" style="27"/>
    <col min="1040" max="1040" width="14.85546875" style="27" customWidth="1"/>
    <col min="1041" max="1041" width="14.5703125" style="27" customWidth="1"/>
    <col min="1042" max="1281" width="11.42578125" style="27"/>
    <col min="1282" max="1282" width="71.28515625" style="27" bestFit="1" customWidth="1"/>
    <col min="1283" max="1284" width="15.5703125" style="27" bestFit="1" customWidth="1"/>
    <col min="1285" max="1295" width="11.42578125" style="27"/>
    <col min="1296" max="1296" width="14.85546875" style="27" customWidth="1"/>
    <col min="1297" max="1297" width="14.5703125" style="27" customWidth="1"/>
    <col min="1298" max="1537" width="11.42578125" style="27"/>
    <col min="1538" max="1538" width="71.28515625" style="27" bestFit="1" customWidth="1"/>
    <col min="1539" max="1540" width="15.5703125" style="27" bestFit="1" customWidth="1"/>
    <col min="1541" max="1551" width="11.42578125" style="27"/>
    <col min="1552" max="1552" width="14.85546875" style="27" customWidth="1"/>
    <col min="1553" max="1553" width="14.5703125" style="27" customWidth="1"/>
    <col min="1554" max="1793" width="11.42578125" style="27"/>
    <col min="1794" max="1794" width="71.28515625" style="27" bestFit="1" customWidth="1"/>
    <col min="1795" max="1796" width="15.5703125" style="27" bestFit="1" customWidth="1"/>
    <col min="1797" max="1807" width="11.42578125" style="27"/>
    <col min="1808" max="1808" width="14.85546875" style="27" customWidth="1"/>
    <col min="1809" max="1809" width="14.5703125" style="27" customWidth="1"/>
    <col min="1810" max="2049" width="11.42578125" style="27"/>
    <col min="2050" max="2050" width="71.28515625" style="27" bestFit="1" customWidth="1"/>
    <col min="2051" max="2052" width="15.5703125" style="27" bestFit="1" customWidth="1"/>
    <col min="2053" max="2063" width="11.42578125" style="27"/>
    <col min="2064" max="2064" width="14.85546875" style="27" customWidth="1"/>
    <col min="2065" max="2065" width="14.5703125" style="27" customWidth="1"/>
    <col min="2066" max="2305" width="11.42578125" style="27"/>
    <col min="2306" max="2306" width="71.28515625" style="27" bestFit="1" customWidth="1"/>
    <col min="2307" max="2308" width="15.5703125" style="27" bestFit="1" customWidth="1"/>
    <col min="2309" max="2319" width="11.42578125" style="27"/>
    <col min="2320" max="2320" width="14.85546875" style="27" customWidth="1"/>
    <col min="2321" max="2321" width="14.5703125" style="27" customWidth="1"/>
    <col min="2322" max="2561" width="11.42578125" style="27"/>
    <col min="2562" max="2562" width="71.28515625" style="27" bestFit="1" customWidth="1"/>
    <col min="2563" max="2564" width="15.5703125" style="27" bestFit="1" customWidth="1"/>
    <col min="2565" max="2575" width="11.42578125" style="27"/>
    <col min="2576" max="2576" width="14.85546875" style="27" customWidth="1"/>
    <col min="2577" max="2577" width="14.5703125" style="27" customWidth="1"/>
    <col min="2578" max="2817" width="11.42578125" style="27"/>
    <col min="2818" max="2818" width="71.28515625" style="27" bestFit="1" customWidth="1"/>
    <col min="2819" max="2820" width="15.5703125" style="27" bestFit="1" customWidth="1"/>
    <col min="2821" max="2831" width="11.42578125" style="27"/>
    <col min="2832" max="2832" width="14.85546875" style="27" customWidth="1"/>
    <col min="2833" max="2833" width="14.5703125" style="27" customWidth="1"/>
    <col min="2834" max="3073" width="11.42578125" style="27"/>
    <col min="3074" max="3074" width="71.28515625" style="27" bestFit="1" customWidth="1"/>
    <col min="3075" max="3076" width="15.5703125" style="27" bestFit="1" customWidth="1"/>
    <col min="3077" max="3087" width="11.42578125" style="27"/>
    <col min="3088" max="3088" width="14.85546875" style="27" customWidth="1"/>
    <col min="3089" max="3089" width="14.5703125" style="27" customWidth="1"/>
    <col min="3090" max="3329" width="11.42578125" style="27"/>
    <col min="3330" max="3330" width="71.28515625" style="27" bestFit="1" customWidth="1"/>
    <col min="3331" max="3332" width="15.5703125" style="27" bestFit="1" customWidth="1"/>
    <col min="3333" max="3343" width="11.42578125" style="27"/>
    <col min="3344" max="3344" width="14.85546875" style="27" customWidth="1"/>
    <col min="3345" max="3345" width="14.5703125" style="27" customWidth="1"/>
    <col min="3346" max="3585" width="11.42578125" style="27"/>
    <col min="3586" max="3586" width="71.28515625" style="27" bestFit="1" customWidth="1"/>
    <col min="3587" max="3588" width="15.5703125" style="27" bestFit="1" customWidth="1"/>
    <col min="3589" max="3599" width="11.42578125" style="27"/>
    <col min="3600" max="3600" width="14.85546875" style="27" customWidth="1"/>
    <col min="3601" max="3601" width="14.5703125" style="27" customWidth="1"/>
    <col min="3602" max="3841" width="11.42578125" style="27"/>
    <col min="3842" max="3842" width="71.28515625" style="27" bestFit="1" customWidth="1"/>
    <col min="3843" max="3844" width="15.5703125" style="27" bestFit="1" customWidth="1"/>
    <col min="3845" max="3855" width="11.42578125" style="27"/>
    <col min="3856" max="3856" width="14.85546875" style="27" customWidth="1"/>
    <col min="3857" max="3857" width="14.5703125" style="27" customWidth="1"/>
    <col min="3858" max="4097" width="11.42578125" style="27"/>
    <col min="4098" max="4098" width="71.28515625" style="27" bestFit="1" customWidth="1"/>
    <col min="4099" max="4100" width="15.5703125" style="27" bestFit="1" customWidth="1"/>
    <col min="4101" max="4111" width="11.42578125" style="27"/>
    <col min="4112" max="4112" width="14.85546875" style="27" customWidth="1"/>
    <col min="4113" max="4113" width="14.5703125" style="27" customWidth="1"/>
    <col min="4114" max="4353" width="11.42578125" style="27"/>
    <col min="4354" max="4354" width="71.28515625" style="27" bestFit="1" customWidth="1"/>
    <col min="4355" max="4356" width="15.5703125" style="27" bestFit="1" customWidth="1"/>
    <col min="4357" max="4367" width="11.42578125" style="27"/>
    <col min="4368" max="4368" width="14.85546875" style="27" customWidth="1"/>
    <col min="4369" max="4369" width="14.5703125" style="27" customWidth="1"/>
    <col min="4370" max="4609" width="11.42578125" style="27"/>
    <col min="4610" max="4610" width="71.28515625" style="27" bestFit="1" customWidth="1"/>
    <col min="4611" max="4612" width="15.5703125" style="27" bestFit="1" customWidth="1"/>
    <col min="4613" max="4623" width="11.42578125" style="27"/>
    <col min="4624" max="4624" width="14.85546875" style="27" customWidth="1"/>
    <col min="4625" max="4625" width="14.5703125" style="27" customWidth="1"/>
    <col min="4626" max="4865" width="11.42578125" style="27"/>
    <col min="4866" max="4866" width="71.28515625" style="27" bestFit="1" customWidth="1"/>
    <col min="4867" max="4868" width="15.5703125" style="27" bestFit="1" customWidth="1"/>
    <col min="4869" max="4879" width="11.42578125" style="27"/>
    <col min="4880" max="4880" width="14.85546875" style="27" customWidth="1"/>
    <col min="4881" max="4881" width="14.5703125" style="27" customWidth="1"/>
    <col min="4882" max="5121" width="11.42578125" style="27"/>
    <col min="5122" max="5122" width="71.28515625" style="27" bestFit="1" customWidth="1"/>
    <col min="5123" max="5124" width="15.5703125" style="27" bestFit="1" customWidth="1"/>
    <col min="5125" max="5135" width="11.42578125" style="27"/>
    <col min="5136" max="5136" width="14.85546875" style="27" customWidth="1"/>
    <col min="5137" max="5137" width="14.5703125" style="27" customWidth="1"/>
    <col min="5138" max="5377" width="11.42578125" style="27"/>
    <col min="5378" max="5378" width="71.28515625" style="27" bestFit="1" customWidth="1"/>
    <col min="5379" max="5380" width="15.5703125" style="27" bestFit="1" customWidth="1"/>
    <col min="5381" max="5391" width="11.42578125" style="27"/>
    <col min="5392" max="5392" width="14.85546875" style="27" customWidth="1"/>
    <col min="5393" max="5393" width="14.5703125" style="27" customWidth="1"/>
    <col min="5394" max="5633" width="11.42578125" style="27"/>
    <col min="5634" max="5634" width="71.28515625" style="27" bestFit="1" customWidth="1"/>
    <col min="5635" max="5636" width="15.5703125" style="27" bestFit="1" customWidth="1"/>
    <col min="5637" max="5647" width="11.42578125" style="27"/>
    <col min="5648" max="5648" width="14.85546875" style="27" customWidth="1"/>
    <col min="5649" max="5649" width="14.5703125" style="27" customWidth="1"/>
    <col min="5650" max="5889" width="11.42578125" style="27"/>
    <col min="5890" max="5890" width="71.28515625" style="27" bestFit="1" customWidth="1"/>
    <col min="5891" max="5892" width="15.5703125" style="27" bestFit="1" customWidth="1"/>
    <col min="5893" max="5903" width="11.42578125" style="27"/>
    <col min="5904" max="5904" width="14.85546875" style="27" customWidth="1"/>
    <col min="5905" max="5905" width="14.5703125" style="27" customWidth="1"/>
    <col min="5906" max="6145" width="11.42578125" style="27"/>
    <col min="6146" max="6146" width="71.28515625" style="27" bestFit="1" customWidth="1"/>
    <col min="6147" max="6148" width="15.5703125" style="27" bestFit="1" customWidth="1"/>
    <col min="6149" max="6159" width="11.42578125" style="27"/>
    <col min="6160" max="6160" width="14.85546875" style="27" customWidth="1"/>
    <col min="6161" max="6161" width="14.5703125" style="27" customWidth="1"/>
    <col min="6162" max="6401" width="11.42578125" style="27"/>
    <col min="6402" max="6402" width="71.28515625" style="27" bestFit="1" customWidth="1"/>
    <col min="6403" max="6404" width="15.5703125" style="27" bestFit="1" customWidth="1"/>
    <col min="6405" max="6415" width="11.42578125" style="27"/>
    <col min="6416" max="6416" width="14.85546875" style="27" customWidth="1"/>
    <col min="6417" max="6417" width="14.5703125" style="27" customWidth="1"/>
    <col min="6418" max="6657" width="11.42578125" style="27"/>
    <col min="6658" max="6658" width="71.28515625" style="27" bestFit="1" customWidth="1"/>
    <col min="6659" max="6660" width="15.5703125" style="27" bestFit="1" customWidth="1"/>
    <col min="6661" max="6671" width="11.42578125" style="27"/>
    <col min="6672" max="6672" width="14.85546875" style="27" customWidth="1"/>
    <col min="6673" max="6673" width="14.5703125" style="27" customWidth="1"/>
    <col min="6674" max="6913" width="11.42578125" style="27"/>
    <col min="6914" max="6914" width="71.28515625" style="27" bestFit="1" customWidth="1"/>
    <col min="6915" max="6916" width="15.5703125" style="27" bestFit="1" customWidth="1"/>
    <col min="6917" max="6927" width="11.42578125" style="27"/>
    <col min="6928" max="6928" width="14.85546875" style="27" customWidth="1"/>
    <col min="6929" max="6929" width="14.5703125" style="27" customWidth="1"/>
    <col min="6930" max="7169" width="11.42578125" style="27"/>
    <col min="7170" max="7170" width="71.28515625" style="27" bestFit="1" customWidth="1"/>
    <col min="7171" max="7172" width="15.5703125" style="27" bestFit="1" customWidth="1"/>
    <col min="7173" max="7183" width="11.42578125" style="27"/>
    <col min="7184" max="7184" width="14.85546875" style="27" customWidth="1"/>
    <col min="7185" max="7185" width="14.5703125" style="27" customWidth="1"/>
    <col min="7186" max="7425" width="11.42578125" style="27"/>
    <col min="7426" max="7426" width="71.28515625" style="27" bestFit="1" customWidth="1"/>
    <col min="7427" max="7428" width="15.5703125" style="27" bestFit="1" customWidth="1"/>
    <col min="7429" max="7439" width="11.42578125" style="27"/>
    <col min="7440" max="7440" width="14.85546875" style="27" customWidth="1"/>
    <col min="7441" max="7441" width="14.5703125" style="27" customWidth="1"/>
    <col min="7442" max="7681" width="11.42578125" style="27"/>
    <col min="7682" max="7682" width="71.28515625" style="27" bestFit="1" customWidth="1"/>
    <col min="7683" max="7684" width="15.5703125" style="27" bestFit="1" customWidth="1"/>
    <col min="7685" max="7695" width="11.42578125" style="27"/>
    <col min="7696" max="7696" width="14.85546875" style="27" customWidth="1"/>
    <col min="7697" max="7697" width="14.5703125" style="27" customWidth="1"/>
    <col min="7698" max="7937" width="11.42578125" style="27"/>
    <col min="7938" max="7938" width="71.28515625" style="27" bestFit="1" customWidth="1"/>
    <col min="7939" max="7940" width="15.5703125" style="27" bestFit="1" customWidth="1"/>
    <col min="7941" max="7951" width="11.42578125" style="27"/>
    <col min="7952" max="7952" width="14.85546875" style="27" customWidth="1"/>
    <col min="7953" max="7953" width="14.5703125" style="27" customWidth="1"/>
    <col min="7954" max="8193" width="11.42578125" style="27"/>
    <col min="8194" max="8194" width="71.28515625" style="27" bestFit="1" customWidth="1"/>
    <col min="8195" max="8196" width="15.5703125" style="27" bestFit="1" customWidth="1"/>
    <col min="8197" max="8207" width="11.42578125" style="27"/>
    <col min="8208" max="8208" width="14.85546875" style="27" customWidth="1"/>
    <col min="8209" max="8209" width="14.5703125" style="27" customWidth="1"/>
    <col min="8210" max="8449" width="11.42578125" style="27"/>
    <col min="8450" max="8450" width="71.28515625" style="27" bestFit="1" customWidth="1"/>
    <col min="8451" max="8452" width="15.5703125" style="27" bestFit="1" customWidth="1"/>
    <col min="8453" max="8463" width="11.42578125" style="27"/>
    <col min="8464" max="8464" width="14.85546875" style="27" customWidth="1"/>
    <col min="8465" max="8465" width="14.5703125" style="27" customWidth="1"/>
    <col min="8466" max="8705" width="11.42578125" style="27"/>
    <col min="8706" max="8706" width="71.28515625" style="27" bestFit="1" customWidth="1"/>
    <col min="8707" max="8708" width="15.5703125" style="27" bestFit="1" customWidth="1"/>
    <col min="8709" max="8719" width="11.42578125" style="27"/>
    <col min="8720" max="8720" width="14.85546875" style="27" customWidth="1"/>
    <col min="8721" max="8721" width="14.5703125" style="27" customWidth="1"/>
    <col min="8722" max="8961" width="11.42578125" style="27"/>
    <col min="8962" max="8962" width="71.28515625" style="27" bestFit="1" customWidth="1"/>
    <col min="8963" max="8964" width="15.5703125" style="27" bestFit="1" customWidth="1"/>
    <col min="8965" max="8975" width="11.42578125" style="27"/>
    <col min="8976" max="8976" width="14.85546875" style="27" customWidth="1"/>
    <col min="8977" max="8977" width="14.5703125" style="27" customWidth="1"/>
    <col min="8978" max="9217" width="11.42578125" style="27"/>
    <col min="9218" max="9218" width="71.28515625" style="27" bestFit="1" customWidth="1"/>
    <col min="9219" max="9220" width="15.5703125" style="27" bestFit="1" customWidth="1"/>
    <col min="9221" max="9231" width="11.42578125" style="27"/>
    <col min="9232" max="9232" width="14.85546875" style="27" customWidth="1"/>
    <col min="9233" max="9233" width="14.5703125" style="27" customWidth="1"/>
    <col min="9234" max="9473" width="11.42578125" style="27"/>
    <col min="9474" max="9474" width="71.28515625" style="27" bestFit="1" customWidth="1"/>
    <col min="9475" max="9476" width="15.5703125" style="27" bestFit="1" customWidth="1"/>
    <col min="9477" max="9487" width="11.42578125" style="27"/>
    <col min="9488" max="9488" width="14.85546875" style="27" customWidth="1"/>
    <col min="9489" max="9489" width="14.5703125" style="27" customWidth="1"/>
    <col min="9490" max="9729" width="11.42578125" style="27"/>
    <col min="9730" max="9730" width="71.28515625" style="27" bestFit="1" customWidth="1"/>
    <col min="9731" max="9732" width="15.5703125" style="27" bestFit="1" customWidth="1"/>
    <col min="9733" max="9743" width="11.42578125" style="27"/>
    <col min="9744" max="9744" width="14.85546875" style="27" customWidth="1"/>
    <col min="9745" max="9745" width="14.5703125" style="27" customWidth="1"/>
    <col min="9746" max="9985" width="11.42578125" style="27"/>
    <col min="9986" max="9986" width="71.28515625" style="27" bestFit="1" customWidth="1"/>
    <col min="9987" max="9988" width="15.5703125" style="27" bestFit="1" customWidth="1"/>
    <col min="9989" max="9999" width="11.42578125" style="27"/>
    <col min="10000" max="10000" width="14.85546875" style="27" customWidth="1"/>
    <col min="10001" max="10001" width="14.5703125" style="27" customWidth="1"/>
    <col min="10002" max="10241" width="11.42578125" style="27"/>
    <col min="10242" max="10242" width="71.28515625" style="27" bestFit="1" customWidth="1"/>
    <col min="10243" max="10244" width="15.5703125" style="27" bestFit="1" customWidth="1"/>
    <col min="10245" max="10255" width="11.42578125" style="27"/>
    <col min="10256" max="10256" width="14.85546875" style="27" customWidth="1"/>
    <col min="10257" max="10257" width="14.5703125" style="27" customWidth="1"/>
    <col min="10258" max="10497" width="11.42578125" style="27"/>
    <col min="10498" max="10498" width="71.28515625" style="27" bestFit="1" customWidth="1"/>
    <col min="10499" max="10500" width="15.5703125" style="27" bestFit="1" customWidth="1"/>
    <col min="10501" max="10511" width="11.42578125" style="27"/>
    <col min="10512" max="10512" width="14.85546875" style="27" customWidth="1"/>
    <col min="10513" max="10513" width="14.5703125" style="27" customWidth="1"/>
    <col min="10514" max="10753" width="11.42578125" style="27"/>
    <col min="10754" max="10754" width="71.28515625" style="27" bestFit="1" customWidth="1"/>
    <col min="10755" max="10756" width="15.5703125" style="27" bestFit="1" customWidth="1"/>
    <col min="10757" max="10767" width="11.42578125" style="27"/>
    <col min="10768" max="10768" width="14.85546875" style="27" customWidth="1"/>
    <col min="10769" max="10769" width="14.5703125" style="27" customWidth="1"/>
    <col min="10770" max="11009" width="11.42578125" style="27"/>
    <col min="11010" max="11010" width="71.28515625" style="27" bestFit="1" customWidth="1"/>
    <col min="11011" max="11012" width="15.5703125" style="27" bestFit="1" customWidth="1"/>
    <col min="11013" max="11023" width="11.42578125" style="27"/>
    <col min="11024" max="11024" width="14.85546875" style="27" customWidth="1"/>
    <col min="11025" max="11025" width="14.5703125" style="27" customWidth="1"/>
    <col min="11026" max="11265" width="11.42578125" style="27"/>
    <col min="11266" max="11266" width="71.28515625" style="27" bestFit="1" customWidth="1"/>
    <col min="11267" max="11268" width="15.5703125" style="27" bestFit="1" customWidth="1"/>
    <col min="11269" max="11279" width="11.42578125" style="27"/>
    <col min="11280" max="11280" width="14.85546875" style="27" customWidth="1"/>
    <col min="11281" max="11281" width="14.5703125" style="27" customWidth="1"/>
    <col min="11282" max="11521" width="11.42578125" style="27"/>
    <col min="11522" max="11522" width="71.28515625" style="27" bestFit="1" customWidth="1"/>
    <col min="11523" max="11524" width="15.5703125" style="27" bestFit="1" customWidth="1"/>
    <col min="11525" max="11535" width="11.42578125" style="27"/>
    <col min="11536" max="11536" width="14.85546875" style="27" customWidth="1"/>
    <col min="11537" max="11537" width="14.5703125" style="27" customWidth="1"/>
    <col min="11538" max="11777" width="11.42578125" style="27"/>
    <col min="11778" max="11778" width="71.28515625" style="27" bestFit="1" customWidth="1"/>
    <col min="11779" max="11780" width="15.5703125" style="27" bestFit="1" customWidth="1"/>
    <col min="11781" max="11791" width="11.42578125" style="27"/>
    <col min="11792" max="11792" width="14.85546875" style="27" customWidth="1"/>
    <col min="11793" max="11793" width="14.5703125" style="27" customWidth="1"/>
    <col min="11794" max="12033" width="11.42578125" style="27"/>
    <col min="12034" max="12034" width="71.28515625" style="27" bestFit="1" customWidth="1"/>
    <col min="12035" max="12036" width="15.5703125" style="27" bestFit="1" customWidth="1"/>
    <col min="12037" max="12047" width="11.42578125" style="27"/>
    <col min="12048" max="12048" width="14.85546875" style="27" customWidth="1"/>
    <col min="12049" max="12049" width="14.5703125" style="27" customWidth="1"/>
    <col min="12050" max="12289" width="11.42578125" style="27"/>
    <col min="12290" max="12290" width="71.28515625" style="27" bestFit="1" customWidth="1"/>
    <col min="12291" max="12292" width="15.5703125" style="27" bestFit="1" customWidth="1"/>
    <col min="12293" max="12303" width="11.42578125" style="27"/>
    <col min="12304" max="12304" width="14.85546875" style="27" customWidth="1"/>
    <col min="12305" max="12305" width="14.5703125" style="27" customWidth="1"/>
    <col min="12306" max="12545" width="11.42578125" style="27"/>
    <col min="12546" max="12546" width="71.28515625" style="27" bestFit="1" customWidth="1"/>
    <col min="12547" max="12548" width="15.5703125" style="27" bestFit="1" customWidth="1"/>
    <col min="12549" max="12559" width="11.42578125" style="27"/>
    <col min="12560" max="12560" width="14.85546875" style="27" customWidth="1"/>
    <col min="12561" max="12561" width="14.5703125" style="27" customWidth="1"/>
    <col min="12562" max="12801" width="11.42578125" style="27"/>
    <col min="12802" max="12802" width="71.28515625" style="27" bestFit="1" customWidth="1"/>
    <col min="12803" max="12804" width="15.5703125" style="27" bestFit="1" customWidth="1"/>
    <col min="12805" max="12815" width="11.42578125" style="27"/>
    <col min="12816" max="12816" width="14.85546875" style="27" customWidth="1"/>
    <col min="12817" max="12817" width="14.5703125" style="27" customWidth="1"/>
    <col min="12818" max="13057" width="11.42578125" style="27"/>
    <col min="13058" max="13058" width="71.28515625" style="27" bestFit="1" customWidth="1"/>
    <col min="13059" max="13060" width="15.5703125" style="27" bestFit="1" customWidth="1"/>
    <col min="13061" max="13071" width="11.42578125" style="27"/>
    <col min="13072" max="13072" width="14.85546875" style="27" customWidth="1"/>
    <col min="13073" max="13073" width="14.5703125" style="27" customWidth="1"/>
    <col min="13074" max="13313" width="11.42578125" style="27"/>
    <col min="13314" max="13314" width="71.28515625" style="27" bestFit="1" customWidth="1"/>
    <col min="13315" max="13316" width="15.5703125" style="27" bestFit="1" customWidth="1"/>
    <col min="13317" max="13327" width="11.42578125" style="27"/>
    <col min="13328" max="13328" width="14.85546875" style="27" customWidth="1"/>
    <col min="13329" max="13329" width="14.5703125" style="27" customWidth="1"/>
    <col min="13330" max="13569" width="11.42578125" style="27"/>
    <col min="13570" max="13570" width="71.28515625" style="27" bestFit="1" customWidth="1"/>
    <col min="13571" max="13572" width="15.5703125" style="27" bestFit="1" customWidth="1"/>
    <col min="13573" max="13583" width="11.42578125" style="27"/>
    <col min="13584" max="13584" width="14.85546875" style="27" customWidth="1"/>
    <col min="13585" max="13585" width="14.5703125" style="27" customWidth="1"/>
    <col min="13586" max="13825" width="11.42578125" style="27"/>
    <col min="13826" max="13826" width="71.28515625" style="27" bestFit="1" customWidth="1"/>
    <col min="13827" max="13828" width="15.5703125" style="27" bestFit="1" customWidth="1"/>
    <col min="13829" max="13839" width="11.42578125" style="27"/>
    <col min="13840" max="13840" width="14.85546875" style="27" customWidth="1"/>
    <col min="13841" max="13841" width="14.5703125" style="27" customWidth="1"/>
    <col min="13842" max="14081" width="11.42578125" style="27"/>
    <col min="14082" max="14082" width="71.28515625" style="27" bestFit="1" customWidth="1"/>
    <col min="14083" max="14084" width="15.5703125" style="27" bestFit="1" customWidth="1"/>
    <col min="14085" max="14095" width="11.42578125" style="27"/>
    <col min="14096" max="14096" width="14.85546875" style="27" customWidth="1"/>
    <col min="14097" max="14097" width="14.5703125" style="27" customWidth="1"/>
    <col min="14098" max="14337" width="11.42578125" style="27"/>
    <col min="14338" max="14338" width="71.28515625" style="27" bestFit="1" customWidth="1"/>
    <col min="14339" max="14340" width="15.5703125" style="27" bestFit="1" customWidth="1"/>
    <col min="14341" max="14351" width="11.42578125" style="27"/>
    <col min="14352" max="14352" width="14.85546875" style="27" customWidth="1"/>
    <col min="14353" max="14353" width="14.5703125" style="27" customWidth="1"/>
    <col min="14354" max="14593" width="11.42578125" style="27"/>
    <col min="14594" max="14594" width="71.28515625" style="27" bestFit="1" customWidth="1"/>
    <col min="14595" max="14596" width="15.5703125" style="27" bestFit="1" customWidth="1"/>
    <col min="14597" max="14607" width="11.42578125" style="27"/>
    <col min="14608" max="14608" width="14.85546875" style="27" customWidth="1"/>
    <col min="14609" max="14609" width="14.5703125" style="27" customWidth="1"/>
    <col min="14610" max="14849" width="11.42578125" style="27"/>
    <col min="14850" max="14850" width="71.28515625" style="27" bestFit="1" customWidth="1"/>
    <col min="14851" max="14852" width="15.5703125" style="27" bestFit="1" customWidth="1"/>
    <col min="14853" max="14863" width="11.42578125" style="27"/>
    <col min="14864" max="14864" width="14.85546875" style="27" customWidth="1"/>
    <col min="14865" max="14865" width="14.5703125" style="27" customWidth="1"/>
    <col min="14866" max="15105" width="11.42578125" style="27"/>
    <col min="15106" max="15106" width="71.28515625" style="27" bestFit="1" customWidth="1"/>
    <col min="15107" max="15108" width="15.5703125" style="27" bestFit="1" customWidth="1"/>
    <col min="15109" max="15119" width="11.42578125" style="27"/>
    <col min="15120" max="15120" width="14.85546875" style="27" customWidth="1"/>
    <col min="15121" max="15121" width="14.5703125" style="27" customWidth="1"/>
    <col min="15122" max="15361" width="11.42578125" style="27"/>
    <col min="15362" max="15362" width="71.28515625" style="27" bestFit="1" customWidth="1"/>
    <col min="15363" max="15364" width="15.5703125" style="27" bestFit="1" customWidth="1"/>
    <col min="15365" max="15375" width="11.42578125" style="27"/>
    <col min="15376" max="15376" width="14.85546875" style="27" customWidth="1"/>
    <col min="15377" max="15377" width="14.5703125" style="27" customWidth="1"/>
    <col min="15378" max="15617" width="11.42578125" style="27"/>
    <col min="15618" max="15618" width="71.28515625" style="27" bestFit="1" customWidth="1"/>
    <col min="15619" max="15620" width="15.5703125" style="27" bestFit="1" customWidth="1"/>
    <col min="15621" max="15631" width="11.42578125" style="27"/>
    <col min="15632" max="15632" width="14.85546875" style="27" customWidth="1"/>
    <col min="15633" max="15633" width="14.5703125" style="27" customWidth="1"/>
    <col min="15634" max="15873" width="11.42578125" style="27"/>
    <col min="15874" max="15874" width="71.28515625" style="27" bestFit="1" customWidth="1"/>
    <col min="15875" max="15876" width="15.5703125" style="27" bestFit="1" customWidth="1"/>
    <col min="15877" max="15887" width="11.42578125" style="27"/>
    <col min="15888" max="15888" width="14.85546875" style="27" customWidth="1"/>
    <col min="15889" max="15889" width="14.5703125" style="27" customWidth="1"/>
    <col min="15890" max="16129" width="11.42578125" style="27"/>
    <col min="16130" max="16130" width="71.28515625" style="27" bestFit="1" customWidth="1"/>
    <col min="16131" max="16132" width="15.5703125" style="27" bestFit="1" customWidth="1"/>
    <col min="16133" max="16143" width="11.42578125" style="27"/>
    <col min="16144" max="16144" width="14.85546875" style="27" customWidth="1"/>
    <col min="16145" max="16145" width="14.5703125" style="27" customWidth="1"/>
    <col min="16146" max="16384" width="11.42578125" style="27"/>
  </cols>
  <sheetData>
    <row r="1" spans="1:18" ht="20.25" x14ac:dyDescent="0.3">
      <c r="A1" s="111" t="s">
        <v>179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8" x14ac:dyDescent="0.25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:18" ht="15.75" x14ac:dyDescent="0.25">
      <c r="A4" s="109" t="s">
        <v>88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ht="18" x14ac:dyDescent="0.25">
      <c r="A6" s="112" t="s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90"/>
      <c r="Q6" s="90"/>
      <c r="R6" s="90"/>
    </row>
    <row r="7" spans="1:18" ht="15.7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</row>
    <row r="8" spans="1:18" ht="15.75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1"/>
      <c r="P8" s="31"/>
      <c r="Q8" s="31"/>
    </row>
    <row r="9" spans="1:18" ht="47.25" x14ac:dyDescent="0.25">
      <c r="A9" s="33" t="s">
        <v>2</v>
      </c>
      <c r="B9" s="34" t="s">
        <v>3</v>
      </c>
      <c r="C9" s="34" t="s">
        <v>4</v>
      </c>
      <c r="D9" s="34" t="s">
        <v>5</v>
      </c>
      <c r="E9" s="34" t="s">
        <v>6</v>
      </c>
      <c r="F9" s="34" t="s">
        <v>7</v>
      </c>
      <c r="G9" s="34" t="s">
        <v>8</v>
      </c>
      <c r="H9" s="34" t="s">
        <v>9</v>
      </c>
      <c r="I9" s="34" t="s">
        <v>10</v>
      </c>
      <c r="J9" s="34" t="s">
        <v>11</v>
      </c>
      <c r="K9" s="34" t="s">
        <v>12</v>
      </c>
      <c r="L9" s="34" t="s">
        <v>13</v>
      </c>
      <c r="M9" s="34" t="s">
        <v>14</v>
      </c>
      <c r="N9" s="34" t="s">
        <v>15</v>
      </c>
      <c r="O9" s="34" t="s">
        <v>72</v>
      </c>
      <c r="P9" s="34" t="s">
        <v>73</v>
      </c>
      <c r="Q9" s="34" t="s">
        <v>16</v>
      </c>
      <c r="R9" s="35" t="s">
        <v>17</v>
      </c>
    </row>
    <row r="10" spans="1:18" ht="15.75" x14ac:dyDescent="0.25">
      <c r="A10" s="69" t="s">
        <v>148</v>
      </c>
      <c r="B10" s="1">
        <f>+B11+B19</f>
        <v>6675950.5200000005</v>
      </c>
      <c r="C10" s="1">
        <f t="shared" ref="C10:N10" si="0">+C11+C19</f>
        <v>6421812.0199999996</v>
      </c>
      <c r="D10" s="1">
        <f t="shared" si="0"/>
        <v>6273877.8100000005</v>
      </c>
      <c r="E10" s="1">
        <f t="shared" si="0"/>
        <v>6993208.4100000001</v>
      </c>
      <c r="F10" s="1">
        <f t="shared" si="0"/>
        <v>8143822.0300000003</v>
      </c>
      <c r="G10" s="1">
        <f t="shared" si="0"/>
        <v>8156536.9500000002</v>
      </c>
      <c r="H10" s="1">
        <f t="shared" si="0"/>
        <v>7984953.4199999999</v>
      </c>
      <c r="I10" s="1">
        <f t="shared" si="0"/>
        <v>9553736.2300000004</v>
      </c>
      <c r="J10" s="1">
        <f t="shared" si="0"/>
        <v>9969047.2100000009</v>
      </c>
      <c r="K10" s="1">
        <f t="shared" si="0"/>
        <v>9076061.4000000004</v>
      </c>
      <c r="L10" s="1">
        <f t="shared" si="0"/>
        <v>8335336.5899999989</v>
      </c>
      <c r="M10" s="1">
        <f t="shared" si="0"/>
        <v>13460317.280000001</v>
      </c>
      <c r="N10" s="1">
        <f t="shared" si="0"/>
        <v>101044659.87</v>
      </c>
      <c r="O10" s="1">
        <f>+O11+O19</f>
        <v>76110666</v>
      </c>
      <c r="P10" s="1">
        <f>+P11+P19</f>
        <v>76110666</v>
      </c>
      <c r="Q10" s="1">
        <f>+N10-P10</f>
        <v>24933993.870000005</v>
      </c>
      <c r="R10" s="2">
        <f>+N10/O10</f>
        <v>1.3276018353327772</v>
      </c>
    </row>
    <row r="11" spans="1:18" x14ac:dyDescent="0.25">
      <c r="A11" s="70" t="s">
        <v>149</v>
      </c>
      <c r="B11" s="3">
        <f>+B13+B16+B17</f>
        <v>6675950.5200000005</v>
      </c>
      <c r="C11" s="3">
        <f t="shared" ref="C11:N11" si="1">+C13+C16+C17</f>
        <v>6421812.0199999996</v>
      </c>
      <c r="D11" s="3">
        <f t="shared" si="1"/>
        <v>6273877.8100000005</v>
      </c>
      <c r="E11" s="3">
        <f t="shared" si="1"/>
        <v>6993208.4100000001</v>
      </c>
      <c r="F11" s="3">
        <f t="shared" si="1"/>
        <v>8143822.0300000003</v>
      </c>
      <c r="G11" s="3">
        <f t="shared" si="1"/>
        <v>8156536.9500000002</v>
      </c>
      <c r="H11" s="3">
        <f t="shared" si="1"/>
        <v>7984953.4199999999</v>
      </c>
      <c r="I11" s="3">
        <f t="shared" si="1"/>
        <v>9553736.2300000004</v>
      </c>
      <c r="J11" s="3">
        <f t="shared" si="1"/>
        <v>9969047.2100000009</v>
      </c>
      <c r="K11" s="3">
        <f t="shared" si="1"/>
        <v>9076061.4000000004</v>
      </c>
      <c r="L11" s="3">
        <f t="shared" si="1"/>
        <v>8335336.5899999989</v>
      </c>
      <c r="M11" s="3">
        <f t="shared" si="1"/>
        <v>7417528.4500000002</v>
      </c>
      <c r="N11" s="3">
        <f t="shared" si="1"/>
        <v>95001871.040000007</v>
      </c>
      <c r="O11" s="3">
        <f>+O13+O16+O17</f>
        <v>76110666</v>
      </c>
      <c r="P11" s="3">
        <f>+P13</f>
        <v>76110666</v>
      </c>
      <c r="Q11" s="3">
        <f>+N11-P11</f>
        <v>18891205.040000007</v>
      </c>
      <c r="R11" s="4">
        <f>+N10/O10</f>
        <v>1.3276018353327772</v>
      </c>
    </row>
    <row r="12" spans="1:18" x14ac:dyDescent="0.25">
      <c r="A12" s="70" t="s">
        <v>150</v>
      </c>
      <c r="B12" s="3">
        <f>+B14+B16+B17</f>
        <v>6349683.1200000001</v>
      </c>
      <c r="C12" s="3">
        <f t="shared" ref="C12:N12" si="2">+C14+C16+C17</f>
        <v>6132057</v>
      </c>
      <c r="D12" s="3">
        <f t="shared" si="2"/>
        <v>5715526.7000000002</v>
      </c>
      <c r="E12" s="3">
        <f t="shared" si="2"/>
        <v>6747177.9199999999</v>
      </c>
      <c r="F12" s="3">
        <f t="shared" si="2"/>
        <v>7463913.3799999999</v>
      </c>
      <c r="G12" s="3">
        <f t="shared" si="2"/>
        <v>7521448.5700000003</v>
      </c>
      <c r="H12" s="3">
        <f t="shared" si="2"/>
        <v>7585956.0999999996</v>
      </c>
      <c r="I12" s="3">
        <f t="shared" si="2"/>
        <v>8890184.5899999999</v>
      </c>
      <c r="J12" s="3">
        <f t="shared" si="2"/>
        <v>9291573.5500000007</v>
      </c>
      <c r="K12" s="3">
        <f t="shared" si="2"/>
        <v>8717897.5</v>
      </c>
      <c r="L12" s="3">
        <f t="shared" si="2"/>
        <v>7524051.5599999996</v>
      </c>
      <c r="M12" s="3">
        <f t="shared" si="2"/>
        <v>6866377.0099999998</v>
      </c>
      <c r="N12" s="3">
        <f t="shared" si="2"/>
        <v>88805847</v>
      </c>
      <c r="O12" s="14">
        <v>72544136</v>
      </c>
      <c r="P12" s="3">
        <f t="shared" ref="P12:P19" si="3">+O12/12*$R$20</f>
        <v>72544136</v>
      </c>
      <c r="Q12" s="3">
        <f>+N12-P12</f>
        <v>16261711</v>
      </c>
      <c r="R12" s="4">
        <f t="shared" ref="R12:R13" si="4">+N11/O11</f>
        <v>1.2482070652226327</v>
      </c>
    </row>
    <row r="13" spans="1:18" x14ac:dyDescent="0.25">
      <c r="A13" s="71" t="s">
        <v>18</v>
      </c>
      <c r="B13" s="3">
        <f>+B14+B15</f>
        <v>6733932.7400000002</v>
      </c>
      <c r="C13" s="3">
        <f t="shared" ref="C13:N13" si="5">+C14+C15</f>
        <v>6472794.6099999994</v>
      </c>
      <c r="D13" s="3">
        <f t="shared" si="5"/>
        <v>6336514.4200000009</v>
      </c>
      <c r="E13" s="3">
        <f t="shared" si="5"/>
        <v>7054896.5200000005</v>
      </c>
      <c r="F13" s="3">
        <f t="shared" si="5"/>
        <v>8212459.2700000005</v>
      </c>
      <c r="G13" s="3">
        <f t="shared" si="5"/>
        <v>8224363.71</v>
      </c>
      <c r="H13" s="3">
        <f t="shared" si="5"/>
        <v>8070303.7699999996</v>
      </c>
      <c r="I13" s="3">
        <f t="shared" si="5"/>
        <v>9649114.4100000001</v>
      </c>
      <c r="J13" s="3">
        <f t="shared" si="5"/>
        <v>10046089.960000001</v>
      </c>
      <c r="K13" s="3">
        <f t="shared" si="5"/>
        <v>10014322.49</v>
      </c>
      <c r="L13" s="3">
        <f t="shared" si="5"/>
        <v>13872616.459999999</v>
      </c>
      <c r="M13" s="3">
        <f t="shared" si="5"/>
        <v>8570760.8300000001</v>
      </c>
      <c r="N13" s="3">
        <f t="shared" si="5"/>
        <v>103258169.19</v>
      </c>
      <c r="O13" s="3">
        <f>+O12+O15</f>
        <v>76110666</v>
      </c>
      <c r="P13" s="3">
        <f>+P12+P15</f>
        <v>76110666</v>
      </c>
      <c r="Q13" s="3">
        <f>+N13-P13</f>
        <v>27147503.189999998</v>
      </c>
      <c r="R13" s="4">
        <f t="shared" si="4"/>
        <v>1.2241629978196997</v>
      </c>
    </row>
    <row r="14" spans="1:18" x14ac:dyDescent="0.25">
      <c r="A14" s="72" t="s">
        <v>151</v>
      </c>
      <c r="B14" s="14">
        <f>6349683.12+57982.22</f>
        <v>6407665.3399999999</v>
      </c>
      <c r="C14" s="14">
        <f>6132057+50982.59</f>
        <v>6183039.5899999999</v>
      </c>
      <c r="D14" s="14">
        <f>5715526.7+62636.61</f>
        <v>5778163.3100000005</v>
      </c>
      <c r="E14" s="14">
        <f>6747177.92+61688.11</f>
        <v>6808866.0300000003</v>
      </c>
      <c r="F14" s="14">
        <f>7463913.38+68637.24</f>
        <v>7532550.6200000001</v>
      </c>
      <c r="G14" s="14">
        <f>7521448.57+67826.76</f>
        <v>7589275.3300000001</v>
      </c>
      <c r="H14" s="14">
        <f>7585956.1+68022.72+17327.63</f>
        <v>7671306.4499999993</v>
      </c>
      <c r="I14" s="14">
        <f>8890184.59+95378.18</f>
        <v>8985562.7699999996</v>
      </c>
      <c r="J14" s="14">
        <f>9291573.55+77042.75</f>
        <v>9368616.3000000007</v>
      </c>
      <c r="K14" s="14">
        <f>8717897.5+938261.09</f>
        <v>9656158.5899999999</v>
      </c>
      <c r="L14" s="14">
        <f>7524051.56+72637.34+5464642.53</f>
        <v>13061331.43</v>
      </c>
      <c r="M14" s="14">
        <f>6866377.01+71842.33+1081390.05</f>
        <v>8019609.3899999997</v>
      </c>
      <c r="N14" s="3">
        <f t="shared" ref="N14:N19" si="6">SUM(B14:M14)</f>
        <v>97062145.149999991</v>
      </c>
      <c r="O14" s="3"/>
      <c r="P14" s="3"/>
      <c r="Q14" s="3"/>
      <c r="R14" s="4"/>
    </row>
    <row r="15" spans="1:18" x14ac:dyDescent="0.25">
      <c r="A15" s="72" t="s">
        <v>19</v>
      </c>
      <c r="B15" s="14">
        <v>326267.40000000002</v>
      </c>
      <c r="C15" s="14">
        <v>289755.02</v>
      </c>
      <c r="D15" s="14">
        <v>558351.11</v>
      </c>
      <c r="E15" s="14">
        <v>246030.49</v>
      </c>
      <c r="F15" s="14">
        <v>679908.65</v>
      </c>
      <c r="G15" s="14">
        <v>635088.38</v>
      </c>
      <c r="H15" s="14">
        <v>398997.32</v>
      </c>
      <c r="I15" s="14">
        <v>663551.64</v>
      </c>
      <c r="J15" s="14">
        <v>677473.66</v>
      </c>
      <c r="K15" s="14">
        <v>358163.9</v>
      </c>
      <c r="L15" s="14">
        <v>811285.03</v>
      </c>
      <c r="M15" s="14">
        <v>551151.43999999994</v>
      </c>
      <c r="N15" s="3">
        <f t="shared" si="6"/>
        <v>6196024.040000001</v>
      </c>
      <c r="O15" s="14">
        <v>3566530</v>
      </c>
      <c r="P15" s="3">
        <f t="shared" si="3"/>
        <v>3566530</v>
      </c>
      <c r="Q15" s="3">
        <f t="shared" ref="Q15:Q19" si="7">+N15-P15</f>
        <v>2629494.040000001</v>
      </c>
      <c r="R15" s="4">
        <f>+N15/O15</f>
        <v>1.7372695701424077</v>
      </c>
    </row>
    <row r="16" spans="1:18" x14ac:dyDescent="0.25">
      <c r="A16" s="73" t="s">
        <v>110</v>
      </c>
      <c r="B16" s="39">
        <v>-57982.22</v>
      </c>
      <c r="C16" s="39">
        <v>-50982.59</v>
      </c>
      <c r="D16" s="39">
        <v>-62636.61</v>
      </c>
      <c r="E16" s="39">
        <v>-61688.11</v>
      </c>
      <c r="F16" s="39">
        <v>-68637.240000000005</v>
      </c>
      <c r="G16" s="39">
        <v>-67826.759999999995</v>
      </c>
      <c r="H16" s="39">
        <v>-68022.720000000001</v>
      </c>
      <c r="I16" s="39">
        <v>-70419.44</v>
      </c>
      <c r="J16" s="39">
        <v>-70277.509999999995</v>
      </c>
      <c r="K16" s="39">
        <v>-74108.34</v>
      </c>
      <c r="L16" s="39">
        <v>-72637.34</v>
      </c>
      <c r="M16" s="39">
        <v>-71842.33</v>
      </c>
      <c r="N16" s="3">
        <f t="shared" si="6"/>
        <v>-797061.20999999985</v>
      </c>
      <c r="O16" s="3"/>
      <c r="P16" s="3"/>
      <c r="Q16" s="3"/>
      <c r="R16" s="4"/>
    </row>
    <row r="17" spans="1:18" x14ac:dyDescent="0.25">
      <c r="A17" s="73" t="s">
        <v>111</v>
      </c>
      <c r="B17" s="39"/>
      <c r="C17" s="39"/>
      <c r="D17" s="39"/>
      <c r="E17" s="39"/>
      <c r="F17" s="39"/>
      <c r="G17" s="39"/>
      <c r="H17" s="39">
        <v>-17327.63</v>
      </c>
      <c r="I17" s="39">
        <v>-24958.74</v>
      </c>
      <c r="J17" s="39">
        <v>-6765.24</v>
      </c>
      <c r="K17" s="39">
        <v>-864152.75</v>
      </c>
      <c r="L17" s="39">
        <v>-5464642.5300000003</v>
      </c>
      <c r="M17" s="39">
        <v>-1081390.05</v>
      </c>
      <c r="N17" s="3">
        <f t="shared" si="6"/>
        <v>-7459236.9400000004</v>
      </c>
      <c r="O17" s="3"/>
      <c r="P17" s="3"/>
      <c r="Q17" s="3"/>
      <c r="R17" s="4"/>
    </row>
    <row r="18" spans="1:18" x14ac:dyDescent="0.25">
      <c r="A18" s="73" t="s">
        <v>152</v>
      </c>
      <c r="B18" s="91">
        <v>-389605.58</v>
      </c>
      <c r="C18" s="91">
        <v>-772368.58</v>
      </c>
      <c r="D18" s="91">
        <v>-228990.15</v>
      </c>
      <c r="E18" s="91">
        <v>-526313.69999999995</v>
      </c>
      <c r="F18" s="91">
        <v>-172001.33</v>
      </c>
      <c r="G18" s="91">
        <v>-263329.55</v>
      </c>
      <c r="H18" s="91">
        <v>-222121.69</v>
      </c>
      <c r="I18" s="91">
        <v>-389488.05</v>
      </c>
      <c r="J18" s="91">
        <v>-291739.74</v>
      </c>
      <c r="K18" s="91">
        <v>-235614.34</v>
      </c>
      <c r="L18" s="91">
        <v>-557724.38</v>
      </c>
      <c r="M18" s="91">
        <v>-145610.5</v>
      </c>
      <c r="N18" s="3">
        <f t="shared" si="6"/>
        <v>-4194907.5899999989</v>
      </c>
      <c r="O18" s="3"/>
      <c r="P18" s="3"/>
      <c r="Q18" s="3"/>
      <c r="R18" s="4"/>
    </row>
    <row r="19" spans="1:18" x14ac:dyDescent="0.25">
      <c r="A19" s="74" t="s">
        <v>146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v>6042788.8300000001</v>
      </c>
      <c r="N19" s="3">
        <f t="shared" si="6"/>
        <v>6042788.8300000001</v>
      </c>
      <c r="O19" s="14"/>
      <c r="P19" s="3">
        <f t="shared" si="3"/>
        <v>0</v>
      </c>
      <c r="Q19" s="3">
        <f t="shared" si="7"/>
        <v>6042788.8300000001</v>
      </c>
      <c r="R19" s="4" t="e">
        <f>+N19/O19</f>
        <v>#DIV/0!</v>
      </c>
    </row>
    <row r="20" spans="1:18" x14ac:dyDescent="0.25">
      <c r="A20" s="7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40"/>
      <c r="R20" s="22">
        <f>COUNTA(B14:M14)</f>
        <v>12</v>
      </c>
    </row>
    <row r="21" spans="1:18" ht="15.75" x14ac:dyDescent="0.25">
      <c r="A21" s="75" t="s">
        <v>20</v>
      </c>
      <c r="B21" s="5">
        <f>+B22+B32+B33</f>
        <v>2922019.9899999998</v>
      </c>
      <c r="C21" s="5">
        <f t="shared" ref="C21:N21" si="8">+C22+C32+C33</f>
        <v>3735990.92</v>
      </c>
      <c r="D21" s="5">
        <f t="shared" si="8"/>
        <v>5475825.7499999991</v>
      </c>
      <c r="E21" s="5">
        <f t="shared" si="8"/>
        <v>4783400.1399999997</v>
      </c>
      <c r="F21" s="5">
        <f t="shared" si="8"/>
        <v>4516872.3</v>
      </c>
      <c r="G21" s="5">
        <f t="shared" si="8"/>
        <v>5216346.7199999988</v>
      </c>
      <c r="H21" s="5">
        <f t="shared" si="8"/>
        <v>4781678.75</v>
      </c>
      <c r="I21" s="5">
        <f t="shared" si="8"/>
        <v>8237679.8100000005</v>
      </c>
      <c r="J21" s="5">
        <f t="shared" si="8"/>
        <v>9323813.6900000013</v>
      </c>
      <c r="K21" s="5">
        <f t="shared" si="8"/>
        <v>4206938.3599999994</v>
      </c>
      <c r="L21" s="5">
        <f t="shared" si="8"/>
        <v>5375048.9900000002</v>
      </c>
      <c r="M21" s="5">
        <f t="shared" si="8"/>
        <v>20806676.649999999</v>
      </c>
      <c r="N21" s="5">
        <f t="shared" si="8"/>
        <v>79382292.069999993</v>
      </c>
      <c r="O21" s="5">
        <f>+O22+O32+O33</f>
        <v>52914868.880000003</v>
      </c>
      <c r="P21" s="5">
        <f>+P22+P32+P33</f>
        <v>52914868.880000003</v>
      </c>
      <c r="Q21" s="5">
        <f t="shared" ref="Q21:Q30" si="9">+N21-P21</f>
        <v>26467423.18999999</v>
      </c>
      <c r="R21" s="2">
        <f>+N21/O21</f>
        <v>1.500188770192791</v>
      </c>
    </row>
    <row r="22" spans="1:18" x14ac:dyDescent="0.25">
      <c r="A22" s="70" t="s">
        <v>155</v>
      </c>
      <c r="B22" s="6">
        <f>+B23+B24+B25+B29+B30</f>
        <v>2844278.6199999996</v>
      </c>
      <c r="C22" s="6">
        <f t="shared" ref="C22:N22" si="10">+C23+C24+C25+C29+C30</f>
        <v>3465426.76</v>
      </c>
      <c r="D22" s="6">
        <f t="shared" si="10"/>
        <v>4287015.8699999992</v>
      </c>
      <c r="E22" s="6">
        <f t="shared" si="10"/>
        <v>3408293.78</v>
      </c>
      <c r="F22" s="6">
        <f t="shared" si="10"/>
        <v>3141765.94</v>
      </c>
      <c r="G22" s="6">
        <f t="shared" si="10"/>
        <v>4533506.5299999993</v>
      </c>
      <c r="H22" s="6">
        <f t="shared" si="10"/>
        <v>3256735.75</v>
      </c>
      <c r="I22" s="6">
        <f t="shared" si="10"/>
        <v>3920306.0500000003</v>
      </c>
      <c r="J22" s="6">
        <f t="shared" si="10"/>
        <v>4082875.1900000004</v>
      </c>
      <c r="K22" s="6">
        <f t="shared" si="10"/>
        <v>3675858.01</v>
      </c>
      <c r="L22" s="6">
        <f t="shared" si="10"/>
        <v>2918574.69</v>
      </c>
      <c r="M22" s="6">
        <f t="shared" si="10"/>
        <v>8145317.6499999994</v>
      </c>
      <c r="N22" s="6">
        <f t="shared" si="10"/>
        <v>47679954.839999996</v>
      </c>
      <c r="O22" s="6">
        <f>+O23+O24+O25+O29+O30</f>
        <v>52914868.880000003</v>
      </c>
      <c r="P22" s="6">
        <f>+P23+P24+P25+P29+P30</f>
        <v>52914868.880000003</v>
      </c>
      <c r="Q22" s="6">
        <f t="shared" si="9"/>
        <v>-5234914.0400000066</v>
      </c>
      <c r="R22" s="4">
        <f>+N21/O21</f>
        <v>1.500188770192791</v>
      </c>
    </row>
    <row r="23" spans="1:18" x14ac:dyDescent="0.25">
      <c r="A23" s="71" t="s">
        <v>21</v>
      </c>
      <c r="B23" s="14">
        <v>1107363.1200000001</v>
      </c>
      <c r="C23" s="14">
        <v>1161980.21</v>
      </c>
      <c r="D23" s="14">
        <v>1752366.7</v>
      </c>
      <c r="E23" s="14">
        <v>1303119.22</v>
      </c>
      <c r="F23" s="14">
        <v>1146233.8400000001</v>
      </c>
      <c r="G23" s="14">
        <v>1428123.02</v>
      </c>
      <c r="H23" s="14">
        <v>1232916.73</v>
      </c>
      <c r="I23" s="14">
        <v>1415468.83</v>
      </c>
      <c r="J23" s="14">
        <v>1153511.5</v>
      </c>
      <c r="K23" s="14">
        <v>1091126.24</v>
      </c>
      <c r="L23" s="14">
        <v>1122661.83</v>
      </c>
      <c r="M23" s="14">
        <v>1218920.08</v>
      </c>
      <c r="N23" s="15">
        <f>SUM(B23:M23)</f>
        <v>15133791.32</v>
      </c>
      <c r="O23" s="14">
        <v>14905250</v>
      </c>
      <c r="P23" s="3">
        <f>+O23/12*$R$20</f>
        <v>14905250</v>
      </c>
      <c r="Q23" s="3">
        <f t="shared" si="9"/>
        <v>228541.3200000003</v>
      </c>
      <c r="R23" s="4">
        <f t="shared" ref="R23:R34" si="11">+N22/O22</f>
        <v>0.90106912951307294</v>
      </c>
    </row>
    <row r="24" spans="1:18" x14ac:dyDescent="0.25">
      <c r="A24" s="73" t="s">
        <v>22</v>
      </c>
      <c r="B24" s="14">
        <v>823873.17</v>
      </c>
      <c r="C24" s="14">
        <v>664806.18999999994</v>
      </c>
      <c r="D24" s="14">
        <v>1376647.59</v>
      </c>
      <c r="E24" s="14">
        <v>745113.39</v>
      </c>
      <c r="F24" s="14">
        <v>399269.55</v>
      </c>
      <c r="G24" s="14">
        <v>683348.9</v>
      </c>
      <c r="H24" s="14">
        <v>345859.07</v>
      </c>
      <c r="I24" s="14">
        <v>739571.63</v>
      </c>
      <c r="J24" s="14">
        <v>311020.39</v>
      </c>
      <c r="K24" s="14">
        <v>38948.65</v>
      </c>
      <c r="L24" s="14">
        <v>705049.97</v>
      </c>
      <c r="M24" s="14">
        <v>489363.97</v>
      </c>
      <c r="N24" s="15">
        <f>SUM(B24:M24)</f>
        <v>7322872.4699999997</v>
      </c>
      <c r="O24" s="14">
        <v>11927625.880000001</v>
      </c>
      <c r="P24" s="3">
        <f>+O24/12*$R$20</f>
        <v>11927625.880000001</v>
      </c>
      <c r="Q24" s="3">
        <f t="shared" si="9"/>
        <v>-4604753.4100000011</v>
      </c>
      <c r="R24" s="4">
        <f t="shared" si="11"/>
        <v>1.0153329410778082</v>
      </c>
    </row>
    <row r="25" spans="1:18" x14ac:dyDescent="0.25">
      <c r="A25" s="73" t="s">
        <v>75</v>
      </c>
      <c r="B25" s="3">
        <f>+B26+B28</f>
        <v>587101.64999999991</v>
      </c>
      <c r="C25" s="3">
        <f t="shared" ref="C25:N25" si="12">+C26+C28</f>
        <v>1320879</v>
      </c>
      <c r="D25" s="3">
        <f t="shared" si="12"/>
        <v>854953.41999999993</v>
      </c>
      <c r="E25" s="3">
        <f t="shared" si="12"/>
        <v>1003852.6699999999</v>
      </c>
      <c r="F25" s="3">
        <f t="shared" si="12"/>
        <v>997534.28</v>
      </c>
      <c r="G25" s="3">
        <f t="shared" si="12"/>
        <v>1862877.62</v>
      </c>
      <c r="H25" s="3">
        <f t="shared" si="12"/>
        <v>1281512.8</v>
      </c>
      <c r="I25" s="3">
        <f t="shared" si="12"/>
        <v>1142269.3700000001</v>
      </c>
      <c r="J25" s="3">
        <f t="shared" si="12"/>
        <v>1966931.97</v>
      </c>
      <c r="K25" s="3">
        <f t="shared" si="12"/>
        <v>1348082.13</v>
      </c>
      <c r="L25" s="3">
        <f t="shared" si="12"/>
        <v>683442.49</v>
      </c>
      <c r="M25" s="3">
        <f t="shared" si="12"/>
        <v>5466641.3599999994</v>
      </c>
      <c r="N25" s="3">
        <f t="shared" si="12"/>
        <v>18516078.759999998</v>
      </c>
      <c r="O25" s="3">
        <f>+O26+O28</f>
        <v>19370159</v>
      </c>
      <c r="P25" s="3">
        <f>+P26+P28</f>
        <v>19370159</v>
      </c>
      <c r="Q25" s="3">
        <f>+N25-P25</f>
        <v>-854080.24000000209</v>
      </c>
      <c r="R25" s="4">
        <f t="shared" si="11"/>
        <v>0.61394216616727082</v>
      </c>
    </row>
    <row r="26" spans="1:18" x14ac:dyDescent="0.25">
      <c r="A26" s="72" t="s">
        <v>153</v>
      </c>
      <c r="B26" s="14">
        <v>361756.54</v>
      </c>
      <c r="C26" s="14">
        <v>357409.18</v>
      </c>
      <c r="D26" s="14">
        <v>361540.05</v>
      </c>
      <c r="E26" s="14">
        <v>386616.35</v>
      </c>
      <c r="F26" s="14">
        <v>352306.58</v>
      </c>
      <c r="G26" s="14">
        <v>393777.08</v>
      </c>
      <c r="H26" s="14">
        <v>456188.06</v>
      </c>
      <c r="I26" s="14">
        <v>393759.98</v>
      </c>
      <c r="J26" s="14">
        <v>431632.24</v>
      </c>
      <c r="K26" s="14">
        <v>385664.97</v>
      </c>
      <c r="L26" s="14">
        <v>374098.25</v>
      </c>
      <c r="M26" s="14">
        <v>331129.48</v>
      </c>
      <c r="N26" s="15">
        <f>SUM(B26:M26)</f>
        <v>4585878.76</v>
      </c>
      <c r="O26" s="14">
        <v>5629482</v>
      </c>
      <c r="P26" s="3">
        <f>+O26/12*$R$20</f>
        <v>5629482</v>
      </c>
      <c r="Q26" s="3">
        <f t="shared" si="9"/>
        <v>-1043603.2400000002</v>
      </c>
      <c r="R26" s="4">
        <f t="shared" si="11"/>
        <v>0.95590742233969261</v>
      </c>
    </row>
    <row r="27" spans="1:18" x14ac:dyDescent="0.25">
      <c r="A27" s="72" t="s">
        <v>154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>SUM(B27:M27)</f>
        <v>0</v>
      </c>
      <c r="O27" s="7"/>
      <c r="P27" s="3"/>
      <c r="Q27" s="3"/>
      <c r="R27" s="4"/>
    </row>
    <row r="28" spans="1:18" x14ac:dyDescent="0.25">
      <c r="A28" s="72" t="s">
        <v>74</v>
      </c>
      <c r="B28" s="14">
        <v>225345.11</v>
      </c>
      <c r="C28" s="14">
        <v>963469.82</v>
      </c>
      <c r="D28" s="14">
        <v>493413.37</v>
      </c>
      <c r="E28" s="14">
        <v>617236.31999999995</v>
      </c>
      <c r="F28" s="14">
        <v>645227.69999999995</v>
      </c>
      <c r="G28" s="14">
        <v>1469100.54</v>
      </c>
      <c r="H28" s="14">
        <v>825324.74</v>
      </c>
      <c r="I28" s="14">
        <v>748509.39</v>
      </c>
      <c r="J28" s="14">
        <v>1535299.73</v>
      </c>
      <c r="K28" s="14">
        <v>962417.16</v>
      </c>
      <c r="L28" s="14">
        <v>309344.24</v>
      </c>
      <c r="M28" s="14">
        <v>5135511.88</v>
      </c>
      <c r="N28" s="15">
        <f>SUM(B28:M28)</f>
        <v>13930200</v>
      </c>
      <c r="O28" s="14">
        <v>13740677</v>
      </c>
      <c r="P28" s="3">
        <f>+O28/12*$R$20</f>
        <v>13740677</v>
      </c>
      <c r="Q28" s="3">
        <f t="shared" si="9"/>
        <v>189523</v>
      </c>
      <c r="R28" s="4">
        <f>+N26/O26</f>
        <v>0.8146182472916691</v>
      </c>
    </row>
    <row r="29" spans="1:18" x14ac:dyDescent="0.25">
      <c r="A29" s="73" t="s">
        <v>147</v>
      </c>
      <c r="B29" s="14">
        <v>319835.28000000003</v>
      </c>
      <c r="C29" s="14">
        <v>311655.96000000002</v>
      </c>
      <c r="D29" s="14">
        <v>294863.06</v>
      </c>
      <c r="E29" s="14">
        <v>349660.42</v>
      </c>
      <c r="F29" s="14">
        <v>592180.18999999994</v>
      </c>
      <c r="G29" s="14">
        <f>159737+391234.89</f>
        <v>550971.89</v>
      </c>
      <c r="H29" s="14">
        <v>389899.07</v>
      </c>
      <c r="I29" s="14">
        <v>614811.12</v>
      </c>
      <c r="J29" s="14">
        <v>639952.18999999994</v>
      </c>
      <c r="K29" s="14">
        <f>448567.15+736037.68</f>
        <v>1184604.83</v>
      </c>
      <c r="L29" s="14">
        <v>396526.33</v>
      </c>
      <c r="M29" s="14">
        <v>957296.08</v>
      </c>
      <c r="N29" s="15">
        <f>SUM(B29:M29)</f>
        <v>6602256.4199999999</v>
      </c>
      <c r="O29" s="14">
        <v>6711834</v>
      </c>
      <c r="P29" s="3">
        <f>+O29/12*$R$20</f>
        <v>6711834</v>
      </c>
      <c r="Q29" s="3">
        <f t="shared" si="9"/>
        <v>-109577.58000000007</v>
      </c>
      <c r="R29" s="4">
        <f t="shared" si="11"/>
        <v>1.0137928429581744</v>
      </c>
    </row>
    <row r="30" spans="1:18" x14ac:dyDescent="0.25">
      <c r="A30" s="73" t="s">
        <v>107</v>
      </c>
      <c r="B30" s="14">
        <v>6105.4</v>
      </c>
      <c r="C30" s="14">
        <v>6105.4</v>
      </c>
      <c r="D30" s="14">
        <v>8185.1</v>
      </c>
      <c r="E30" s="14">
        <v>6548.08</v>
      </c>
      <c r="F30" s="14">
        <v>6548.08</v>
      </c>
      <c r="G30" s="14">
        <v>8185.1</v>
      </c>
      <c r="H30" s="14">
        <v>6548.08</v>
      </c>
      <c r="I30" s="14">
        <v>8185.1</v>
      </c>
      <c r="J30" s="14">
        <v>11459.14</v>
      </c>
      <c r="K30" s="14">
        <v>13096.16</v>
      </c>
      <c r="L30" s="14">
        <v>10894.07</v>
      </c>
      <c r="M30" s="14">
        <v>13096.16</v>
      </c>
      <c r="N30" s="15">
        <f>SUM(B30:M30)</f>
        <v>104955.87000000002</v>
      </c>
      <c r="O30" s="14"/>
      <c r="P30" s="3">
        <f>+O30/12*$R$20</f>
        <v>0</v>
      </c>
      <c r="Q30" s="3">
        <f t="shared" si="9"/>
        <v>104955.87000000002</v>
      </c>
      <c r="R30" s="4">
        <f t="shared" si="11"/>
        <v>0.98367397346239493</v>
      </c>
    </row>
    <row r="31" spans="1:18" x14ac:dyDescent="0.25">
      <c r="A31" s="76" t="s">
        <v>23</v>
      </c>
      <c r="B31" s="5">
        <f>+B10-B22</f>
        <v>3831671.9000000008</v>
      </c>
      <c r="C31" s="5">
        <f t="shared" ref="C31:N31" si="13">+C10-C22</f>
        <v>2956385.26</v>
      </c>
      <c r="D31" s="5">
        <f t="shared" si="13"/>
        <v>1986861.9400000013</v>
      </c>
      <c r="E31" s="5">
        <f t="shared" si="13"/>
        <v>3584914.6300000004</v>
      </c>
      <c r="F31" s="5">
        <f t="shared" si="13"/>
        <v>5002056.09</v>
      </c>
      <c r="G31" s="5">
        <f t="shared" si="13"/>
        <v>3623030.4200000009</v>
      </c>
      <c r="H31" s="5">
        <f t="shared" si="13"/>
        <v>4728217.67</v>
      </c>
      <c r="I31" s="5">
        <f t="shared" si="13"/>
        <v>5633430.1799999997</v>
      </c>
      <c r="J31" s="5">
        <f t="shared" si="13"/>
        <v>5886172.0200000005</v>
      </c>
      <c r="K31" s="5">
        <f t="shared" si="13"/>
        <v>5400203.3900000006</v>
      </c>
      <c r="L31" s="5">
        <f t="shared" si="13"/>
        <v>5416761.8999999985</v>
      </c>
      <c r="M31" s="5">
        <f t="shared" si="13"/>
        <v>5314999.6300000018</v>
      </c>
      <c r="N31" s="5">
        <f t="shared" si="13"/>
        <v>53364705.030000009</v>
      </c>
      <c r="O31" s="5">
        <f>+O10-O22</f>
        <v>23195797.119999997</v>
      </c>
      <c r="P31" s="5">
        <f>+P10-P22</f>
        <v>23195797.119999997</v>
      </c>
      <c r="Q31" s="5">
        <f>+N31-P31</f>
        <v>30168907.910000011</v>
      </c>
      <c r="R31" s="2">
        <f>+N31/O31</f>
        <v>2.3006195800871021</v>
      </c>
    </row>
    <row r="32" spans="1:18" x14ac:dyDescent="0.25">
      <c r="A32" s="74" t="s">
        <v>24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3">
        <f>SUM(B32:M32)</f>
        <v>0</v>
      </c>
      <c r="O32" s="14"/>
      <c r="P32" s="3">
        <f>+O32/12*$R$20</f>
        <v>0</v>
      </c>
      <c r="Q32" s="3">
        <f>+N32-P32</f>
        <v>0</v>
      </c>
      <c r="R32" s="4">
        <f t="shared" si="11"/>
        <v>2.3006195800871021</v>
      </c>
    </row>
    <row r="33" spans="1:18" x14ac:dyDescent="0.25">
      <c r="A33" s="74" t="s">
        <v>25</v>
      </c>
      <c r="B33" s="14">
        <v>77741.37</v>
      </c>
      <c r="C33" s="14">
        <v>270564.15999999997</v>
      </c>
      <c r="D33" s="14">
        <v>1188809.8799999999</v>
      </c>
      <c r="E33" s="14">
        <v>1375106.36</v>
      </c>
      <c r="F33" s="14">
        <v>1375106.36</v>
      </c>
      <c r="G33" s="14">
        <f>461795.5+221044.69</f>
        <v>682840.19</v>
      </c>
      <c r="H33" s="14">
        <v>1524943</v>
      </c>
      <c r="I33" s="14">
        <v>4317373.76</v>
      </c>
      <c r="J33" s="14">
        <v>5240938.5</v>
      </c>
      <c r="K33" s="14">
        <v>531080.35</v>
      </c>
      <c r="L33" s="14">
        <v>2456474.2999999998</v>
      </c>
      <c r="M33" s="14">
        <v>12661359</v>
      </c>
      <c r="N33" s="3">
        <f>SUM(B33:M33)</f>
        <v>31702337.23</v>
      </c>
      <c r="O33" s="14"/>
      <c r="P33" s="3">
        <f>+O33/12*$R$20</f>
        <v>0</v>
      </c>
      <c r="Q33" s="3">
        <f>+N33-P33</f>
        <v>31702337.23</v>
      </c>
      <c r="R33" s="4" t="e">
        <f t="shared" si="11"/>
        <v>#DIV/0!</v>
      </c>
    </row>
    <row r="34" spans="1:18" x14ac:dyDescent="0.25">
      <c r="A34" s="76" t="s">
        <v>76</v>
      </c>
      <c r="B34" s="5">
        <f>+B31-B32-B33</f>
        <v>3753930.5300000007</v>
      </c>
      <c r="C34" s="5">
        <f t="shared" ref="C34:N34" si="14">+C31-C32-C33</f>
        <v>2685821.0999999996</v>
      </c>
      <c r="D34" s="5">
        <f t="shared" si="14"/>
        <v>798052.06000000145</v>
      </c>
      <c r="E34" s="5">
        <f t="shared" si="14"/>
        <v>2209808.2700000005</v>
      </c>
      <c r="F34" s="5">
        <f t="shared" si="14"/>
        <v>3626949.7299999995</v>
      </c>
      <c r="G34" s="5">
        <f t="shared" si="14"/>
        <v>2940190.2300000009</v>
      </c>
      <c r="H34" s="5">
        <f t="shared" si="14"/>
        <v>3203274.67</v>
      </c>
      <c r="I34" s="5">
        <f t="shared" si="14"/>
        <v>1316056.42</v>
      </c>
      <c r="J34" s="5">
        <f t="shared" si="14"/>
        <v>645233.52000000048</v>
      </c>
      <c r="K34" s="5">
        <f t="shared" si="14"/>
        <v>4869123.040000001</v>
      </c>
      <c r="L34" s="5">
        <f t="shared" si="14"/>
        <v>2960287.5999999987</v>
      </c>
      <c r="M34" s="5">
        <f t="shared" si="14"/>
        <v>-7346359.3699999982</v>
      </c>
      <c r="N34" s="5">
        <f t="shared" si="14"/>
        <v>21662367.800000008</v>
      </c>
      <c r="O34" s="5">
        <f>+O31-O32-O33</f>
        <v>23195797.119999997</v>
      </c>
      <c r="P34" s="5">
        <f t="shared" ref="P34" si="15">+P31-P32-P33</f>
        <v>23195797.119999997</v>
      </c>
      <c r="Q34" s="5">
        <f>+N34-P34</f>
        <v>-1533429.3199999891</v>
      </c>
      <c r="R34" s="2" t="e">
        <f t="shared" si="11"/>
        <v>#DIV/0!</v>
      </c>
    </row>
    <row r="35" spans="1:18" s="45" customFormat="1" x14ac:dyDescent="0.25">
      <c r="A35" s="77" t="s">
        <v>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>
        <f>SUM(B35:M35)</f>
        <v>0</v>
      </c>
      <c r="O35" s="44"/>
      <c r="P35" s="23"/>
      <c r="Q35" s="23"/>
      <c r="R35" s="24"/>
    </row>
    <row r="36" spans="1:18" x14ac:dyDescent="0.25">
      <c r="A36" s="7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92"/>
    </row>
    <row r="37" spans="1:18" ht="15.75" x14ac:dyDescent="0.25">
      <c r="A37" s="69" t="s">
        <v>106</v>
      </c>
      <c r="B37" s="93">
        <v>39334084.090000004</v>
      </c>
      <c r="C37" s="93">
        <v>43217328.549999997</v>
      </c>
      <c r="D37" s="93">
        <v>42676688.810000002</v>
      </c>
      <c r="E37" s="93">
        <v>45348887.590000004</v>
      </c>
      <c r="F37" s="93">
        <v>50332437.18</v>
      </c>
      <c r="G37" s="93">
        <v>52955005.229999997</v>
      </c>
      <c r="H37" s="93">
        <v>55830989.509999998</v>
      </c>
      <c r="I37" s="93">
        <v>58672364.170000002</v>
      </c>
      <c r="J37" s="93">
        <v>56601701.329999998</v>
      </c>
      <c r="K37" s="93">
        <v>61808332.020000003</v>
      </c>
      <c r="L37" s="93">
        <v>59960011</v>
      </c>
      <c r="M37" s="93">
        <v>64969121.359999999</v>
      </c>
      <c r="N37" s="94"/>
      <c r="O37" s="95"/>
      <c r="P37" s="95"/>
      <c r="Q37" s="95"/>
      <c r="R37" s="96"/>
    </row>
    <row r="38" spans="1:18" ht="15.75" x14ac:dyDescent="0.25">
      <c r="A38" s="75" t="s">
        <v>108</v>
      </c>
      <c r="B38" s="14">
        <v>112985.57</v>
      </c>
      <c r="C38" s="14">
        <v>131304.59</v>
      </c>
      <c r="D38" s="14">
        <v>145508.84</v>
      </c>
      <c r="E38" s="14">
        <v>216212.09</v>
      </c>
      <c r="F38" s="14">
        <v>175992.86</v>
      </c>
      <c r="G38" s="14">
        <v>172163.16</v>
      </c>
      <c r="H38" s="14">
        <v>199686.28</v>
      </c>
      <c r="I38" s="14">
        <v>186881.37</v>
      </c>
      <c r="J38" s="14">
        <v>128394.99</v>
      </c>
      <c r="K38" s="14">
        <v>99936.75</v>
      </c>
      <c r="L38" s="14">
        <v>0</v>
      </c>
      <c r="M38" s="14">
        <v>101148.1</v>
      </c>
      <c r="N38" s="3">
        <f>SUM(B38:M38)</f>
        <v>1670214.5999999999</v>
      </c>
      <c r="O38" s="14"/>
      <c r="P38" s="3">
        <f>+O38/12*$R$20</f>
        <v>0</v>
      </c>
      <c r="Q38" s="3">
        <f t="shared" ref="Q38:Q39" si="16">+N38-P38</f>
        <v>1670214.5999999999</v>
      </c>
      <c r="R38" s="4" t="e">
        <f t="shared" ref="R38:R39" si="17">+N37/O37</f>
        <v>#DIV/0!</v>
      </c>
    </row>
    <row r="39" spans="1:18" ht="15.75" x14ac:dyDescent="0.25">
      <c r="A39" s="97" t="s">
        <v>109</v>
      </c>
      <c r="B39" s="98">
        <v>319835.28000000003</v>
      </c>
      <c r="C39" s="98">
        <v>311655.96000000002</v>
      </c>
      <c r="D39" s="98">
        <v>294863.06</v>
      </c>
      <c r="E39" s="98">
        <v>349660.42</v>
      </c>
      <c r="F39" s="98">
        <v>386803.19</v>
      </c>
      <c r="G39" s="98">
        <v>391234.89</v>
      </c>
      <c r="H39" s="98">
        <v>389899.07</v>
      </c>
      <c r="I39" s="98">
        <v>455074.12</v>
      </c>
      <c r="J39" s="98">
        <v>480216.19</v>
      </c>
      <c r="K39" s="98">
        <v>448567.15</v>
      </c>
      <c r="L39" s="98">
        <v>396526.33</v>
      </c>
      <c r="M39" s="98">
        <v>359214.07</v>
      </c>
      <c r="N39" s="99">
        <f>SUM(B39:M39)</f>
        <v>4583549.7299999995</v>
      </c>
      <c r="O39" s="98"/>
      <c r="P39" s="99">
        <f>+O39/12*$R$20</f>
        <v>0</v>
      </c>
      <c r="Q39" s="99">
        <f t="shared" si="16"/>
        <v>4583549.7299999995</v>
      </c>
      <c r="R39" s="100" t="e">
        <f t="shared" si="17"/>
        <v>#DIV/0!</v>
      </c>
    </row>
    <row r="40" spans="1:18" x14ac:dyDescent="0.25">
      <c r="A40" s="79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101"/>
    </row>
    <row r="41" spans="1:18" ht="15.75" x14ac:dyDescent="0.25">
      <c r="A41" s="69" t="s">
        <v>27</v>
      </c>
      <c r="B41" s="1">
        <f>+B42+B43+B44</f>
        <v>382909</v>
      </c>
      <c r="C41" s="1">
        <f t="shared" ref="C41:N41" si="18">+C42+C43+C44</f>
        <v>152141</v>
      </c>
      <c r="D41" s="1">
        <f t="shared" si="18"/>
        <v>8834</v>
      </c>
      <c r="E41" s="1">
        <f t="shared" si="18"/>
        <v>0</v>
      </c>
      <c r="F41" s="1">
        <f t="shared" si="18"/>
        <v>140915</v>
      </c>
      <c r="G41" s="1">
        <f t="shared" si="18"/>
        <v>171738</v>
      </c>
      <c r="H41" s="1">
        <f t="shared" si="18"/>
        <v>177596</v>
      </c>
      <c r="I41" s="1">
        <f t="shared" si="18"/>
        <v>157241</v>
      </c>
      <c r="J41" s="1">
        <f t="shared" si="18"/>
        <v>157362</v>
      </c>
      <c r="K41" s="1">
        <f t="shared" si="18"/>
        <v>159687</v>
      </c>
      <c r="L41" s="1">
        <f t="shared" si="18"/>
        <v>0</v>
      </c>
      <c r="M41" s="1">
        <f t="shared" si="18"/>
        <v>0</v>
      </c>
      <c r="N41" s="1">
        <f t="shared" si="18"/>
        <v>1508423</v>
      </c>
      <c r="O41" s="36"/>
      <c r="P41" s="36"/>
      <c r="Q41" s="36"/>
      <c r="R41" s="37"/>
    </row>
    <row r="42" spans="1:18" x14ac:dyDescent="0.25">
      <c r="A42" s="74" t="s">
        <v>28</v>
      </c>
      <c r="B42" s="14">
        <v>363515</v>
      </c>
      <c r="C42" s="14">
        <v>134906</v>
      </c>
      <c r="D42" s="14"/>
      <c r="E42" s="14"/>
      <c r="F42" s="14">
        <v>138131</v>
      </c>
      <c r="G42" s="14">
        <v>150751</v>
      </c>
      <c r="H42" s="14">
        <v>159977</v>
      </c>
      <c r="I42" s="14">
        <v>144219</v>
      </c>
      <c r="J42" s="14">
        <v>150585</v>
      </c>
      <c r="K42" s="14">
        <v>149705</v>
      </c>
      <c r="L42" s="14"/>
      <c r="M42" s="14"/>
      <c r="N42" s="3">
        <f>SUM(B42:M42)</f>
        <v>1391789</v>
      </c>
      <c r="O42" s="7"/>
      <c r="P42" s="7"/>
      <c r="Q42" s="7"/>
      <c r="R42" s="38"/>
    </row>
    <row r="43" spans="1:18" x14ac:dyDescent="0.25">
      <c r="A43" s="74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3">
        <f>SUM(B43:M43)</f>
        <v>0</v>
      </c>
      <c r="O43" s="7"/>
      <c r="P43" s="7"/>
      <c r="Q43" s="7"/>
      <c r="R43" s="38"/>
    </row>
    <row r="44" spans="1:18" x14ac:dyDescent="0.25">
      <c r="A44" s="74" t="s">
        <v>30</v>
      </c>
      <c r="B44" s="14">
        <v>19394</v>
      </c>
      <c r="C44" s="14">
        <v>17235</v>
      </c>
      <c r="D44" s="14">
        <v>8834</v>
      </c>
      <c r="E44" s="14"/>
      <c r="F44" s="14">
        <v>2784</v>
      </c>
      <c r="G44" s="14">
        <v>20987</v>
      </c>
      <c r="H44" s="14">
        <v>17619</v>
      </c>
      <c r="I44" s="14">
        <v>13022</v>
      </c>
      <c r="J44" s="14">
        <v>6777</v>
      </c>
      <c r="K44" s="14">
        <v>9982</v>
      </c>
      <c r="L44" s="14"/>
      <c r="M44" s="14"/>
      <c r="N44" s="3">
        <f>SUM(B44:M44)</f>
        <v>116634</v>
      </c>
      <c r="O44" s="7"/>
      <c r="P44" s="7"/>
      <c r="Q44" s="7"/>
      <c r="R44" s="38"/>
    </row>
    <row r="45" spans="1:18" x14ac:dyDescent="0.25">
      <c r="A45" s="7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38"/>
    </row>
    <row r="46" spans="1:18" ht="15.75" x14ac:dyDescent="0.25">
      <c r="A46" s="69" t="s">
        <v>67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7"/>
    </row>
    <row r="47" spans="1:18" x14ac:dyDescent="0.25">
      <c r="A47" t="s">
        <v>68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3">
        <f>SUM(B47:M47)</f>
        <v>0</v>
      </c>
      <c r="O47" s="7"/>
      <c r="P47" s="7"/>
      <c r="Q47" s="7"/>
      <c r="R47" s="38"/>
    </row>
    <row r="48" spans="1:18" x14ac:dyDescent="0.25">
      <c r="A48" t="s">
        <v>69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3">
        <f>SUM(B48:M48)</f>
        <v>0</v>
      </c>
      <c r="O48" s="7"/>
      <c r="P48" s="7"/>
      <c r="Q48" s="7"/>
      <c r="R48" s="38"/>
    </row>
    <row r="49" spans="1:18" x14ac:dyDescent="0.25">
      <c r="A49" t="s">
        <v>70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3">
        <f>SUM(B49:M49)</f>
        <v>0</v>
      </c>
      <c r="O49" s="7"/>
      <c r="P49" s="7"/>
      <c r="Q49" s="7"/>
      <c r="R49" s="38"/>
    </row>
    <row r="50" spans="1:18" x14ac:dyDescent="0.25">
      <c r="A50" s="80" t="s">
        <v>71</v>
      </c>
      <c r="B50" s="3">
        <f>SUM(B47:B49)</f>
        <v>0</v>
      </c>
      <c r="C50" s="3">
        <f t="shared" ref="C50:M50" si="19">SUM(C47:C49)</f>
        <v>0</v>
      </c>
      <c r="D50" s="3">
        <f t="shared" si="19"/>
        <v>0</v>
      </c>
      <c r="E50" s="3">
        <f t="shared" si="19"/>
        <v>0</v>
      </c>
      <c r="F50" s="3">
        <f t="shared" si="19"/>
        <v>0</v>
      </c>
      <c r="G50" s="3">
        <f t="shared" si="19"/>
        <v>0</v>
      </c>
      <c r="H50" s="3">
        <f t="shared" si="19"/>
        <v>0</v>
      </c>
      <c r="I50" s="3">
        <f t="shared" si="19"/>
        <v>0</v>
      </c>
      <c r="J50" s="3">
        <f t="shared" si="19"/>
        <v>0</v>
      </c>
      <c r="K50" s="3">
        <f t="shared" si="19"/>
        <v>0</v>
      </c>
      <c r="L50" s="3">
        <f t="shared" si="19"/>
        <v>0</v>
      </c>
      <c r="M50" s="3">
        <f t="shared" si="19"/>
        <v>0</v>
      </c>
      <c r="N50" s="3">
        <f>SUM(N47:N49)</f>
        <v>0</v>
      </c>
      <c r="O50" s="7"/>
      <c r="P50" s="7"/>
      <c r="Q50" s="7"/>
      <c r="R50" s="38"/>
    </row>
    <row r="51" spans="1:18" x14ac:dyDescent="0.25">
      <c r="A51" s="7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8"/>
    </row>
    <row r="52" spans="1:18" ht="15.75" x14ac:dyDescent="0.25">
      <c r="A52" s="75" t="s">
        <v>31</v>
      </c>
      <c r="B52" s="14">
        <v>435356</v>
      </c>
      <c r="C52" s="16">
        <v>380599</v>
      </c>
      <c r="D52" s="16">
        <v>428972</v>
      </c>
      <c r="E52" s="16">
        <v>441531</v>
      </c>
      <c r="F52" s="16">
        <v>472953</v>
      </c>
      <c r="G52" s="16">
        <v>473224</v>
      </c>
      <c r="H52" s="16">
        <v>492117</v>
      </c>
      <c r="I52" s="16">
        <v>487658</v>
      </c>
      <c r="J52" s="16">
        <v>448303</v>
      </c>
      <c r="K52" s="16">
        <v>419783</v>
      </c>
      <c r="L52" s="16">
        <v>407682</v>
      </c>
      <c r="M52" s="16">
        <v>398488</v>
      </c>
      <c r="N52" s="5">
        <f>SUM(B52:M52)</f>
        <v>5286666</v>
      </c>
      <c r="O52" s="41"/>
      <c r="P52" s="41"/>
      <c r="Q52" s="41"/>
      <c r="R52" s="43"/>
    </row>
    <row r="53" spans="1:18" x14ac:dyDescent="0.25">
      <c r="A53" s="7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38"/>
    </row>
    <row r="54" spans="1:18" ht="15.75" x14ac:dyDescent="0.25">
      <c r="A54" s="75" t="s">
        <v>77</v>
      </c>
      <c r="B54" s="5">
        <f>+B55+B56+B57+B58+B59</f>
        <v>185267</v>
      </c>
      <c r="C54" s="5">
        <f t="shared" ref="C54:N54" si="20">+C55+C56+C57+C58+C59</f>
        <v>183715</v>
      </c>
      <c r="D54" s="5">
        <f t="shared" si="20"/>
        <v>187700</v>
      </c>
      <c r="E54" s="5">
        <f t="shared" si="20"/>
        <v>230817</v>
      </c>
      <c r="F54" s="5">
        <f t="shared" si="20"/>
        <v>240928</v>
      </c>
      <c r="G54" s="5">
        <f t="shared" si="20"/>
        <v>243147</v>
      </c>
      <c r="H54" s="5">
        <f t="shared" si="20"/>
        <v>299831</v>
      </c>
      <c r="I54" s="5">
        <f t="shared" si="20"/>
        <v>278310</v>
      </c>
      <c r="J54" s="5">
        <f t="shared" si="20"/>
        <v>271490</v>
      </c>
      <c r="K54" s="5">
        <f t="shared" si="20"/>
        <v>233377</v>
      </c>
      <c r="L54" s="5">
        <f t="shared" si="20"/>
        <v>229691</v>
      </c>
      <c r="M54" s="5">
        <f t="shared" si="20"/>
        <v>222614</v>
      </c>
      <c r="N54" s="5">
        <f t="shared" si="20"/>
        <v>2806887</v>
      </c>
      <c r="O54" s="41"/>
      <c r="P54" s="41"/>
      <c r="Q54" s="41"/>
      <c r="R54" s="43"/>
    </row>
    <row r="55" spans="1:18" x14ac:dyDescent="0.25">
      <c r="A55" s="74" t="s">
        <v>112</v>
      </c>
      <c r="B55" s="14">
        <v>100852</v>
      </c>
      <c r="C55" s="14">
        <v>110447</v>
      </c>
      <c r="D55" s="14">
        <v>97090</v>
      </c>
      <c r="E55" s="14">
        <v>130892</v>
      </c>
      <c r="F55" s="14">
        <v>136502</v>
      </c>
      <c r="G55" s="14">
        <v>138954</v>
      </c>
      <c r="H55" s="14">
        <v>184480</v>
      </c>
      <c r="I55" s="14">
        <v>148214</v>
      </c>
      <c r="J55" s="14">
        <v>154153</v>
      </c>
      <c r="K55" s="14">
        <v>134105</v>
      </c>
      <c r="L55" s="14">
        <v>139230</v>
      </c>
      <c r="M55" s="14">
        <v>137896</v>
      </c>
      <c r="N55" s="3">
        <f>SUM(B55:M55)</f>
        <v>1612815</v>
      </c>
      <c r="O55" s="7"/>
      <c r="P55" s="7"/>
      <c r="Q55" s="7"/>
      <c r="R55" s="38"/>
    </row>
    <row r="56" spans="1:18" x14ac:dyDescent="0.25">
      <c r="A56" s="74" t="s">
        <v>113</v>
      </c>
      <c r="B56" s="14">
        <v>8686</v>
      </c>
      <c r="C56" s="14">
        <v>8462</v>
      </c>
      <c r="D56" s="14">
        <v>7587</v>
      </c>
      <c r="E56" s="14">
        <v>9643</v>
      </c>
      <c r="F56" s="14">
        <v>10411</v>
      </c>
      <c r="G56" s="14">
        <v>11693</v>
      </c>
      <c r="H56" s="14">
        <v>14602</v>
      </c>
      <c r="I56" s="14">
        <v>14541</v>
      </c>
      <c r="J56" s="14">
        <v>13063</v>
      </c>
      <c r="K56" s="14">
        <v>13145</v>
      </c>
      <c r="L56" s="14">
        <v>13289</v>
      </c>
      <c r="M56" s="14">
        <v>12319</v>
      </c>
      <c r="N56" s="3">
        <f>SUM(B56:M56)</f>
        <v>137441</v>
      </c>
      <c r="O56" s="7"/>
      <c r="P56" s="7"/>
      <c r="Q56" s="7"/>
      <c r="R56" s="38"/>
    </row>
    <row r="57" spans="1:18" x14ac:dyDescent="0.25">
      <c r="A57" s="74" t="s">
        <v>114</v>
      </c>
      <c r="B57" s="14">
        <v>68570</v>
      </c>
      <c r="C57" s="14">
        <v>58152</v>
      </c>
      <c r="D57" s="14">
        <v>75814</v>
      </c>
      <c r="E57" s="14">
        <v>81619</v>
      </c>
      <c r="F57" s="14">
        <v>83430</v>
      </c>
      <c r="G57" s="14">
        <v>82995</v>
      </c>
      <c r="H57" s="14">
        <v>87843</v>
      </c>
      <c r="I57" s="14">
        <v>103608</v>
      </c>
      <c r="J57" s="14">
        <v>93956</v>
      </c>
      <c r="K57" s="14">
        <v>75456</v>
      </c>
      <c r="L57" s="14">
        <v>67869</v>
      </c>
      <c r="M57" s="14">
        <v>65178</v>
      </c>
      <c r="N57" s="3">
        <f>SUM(B57:M57)</f>
        <v>944490</v>
      </c>
      <c r="O57" s="7"/>
      <c r="P57" s="7"/>
      <c r="Q57" s="7"/>
      <c r="R57" s="38"/>
    </row>
    <row r="58" spans="1:18" x14ac:dyDescent="0.25">
      <c r="A58" s="74" t="s">
        <v>115</v>
      </c>
      <c r="B58" s="14">
        <v>2702</v>
      </c>
      <c r="C58" s="14">
        <v>2606</v>
      </c>
      <c r="D58" s="14">
        <v>2869</v>
      </c>
      <c r="E58" s="14">
        <v>3779</v>
      </c>
      <c r="F58" s="14">
        <v>4235</v>
      </c>
      <c r="G58" s="14">
        <v>4519</v>
      </c>
      <c r="H58" s="14">
        <v>6274</v>
      </c>
      <c r="I58" s="14">
        <v>5765</v>
      </c>
      <c r="J58" s="14">
        <v>4399</v>
      </c>
      <c r="K58" s="14">
        <v>4793</v>
      </c>
      <c r="L58" s="14">
        <v>4466</v>
      </c>
      <c r="M58" s="14">
        <v>2619</v>
      </c>
      <c r="N58" s="3">
        <f>SUM(B58:M58)</f>
        <v>49026</v>
      </c>
      <c r="O58" s="7"/>
      <c r="P58" s="7"/>
      <c r="Q58" s="7"/>
      <c r="R58" s="38"/>
    </row>
    <row r="59" spans="1:18" x14ac:dyDescent="0.25">
      <c r="A59" s="74" t="s">
        <v>116</v>
      </c>
      <c r="B59" s="14">
        <v>4457</v>
      </c>
      <c r="C59" s="14">
        <v>4048</v>
      </c>
      <c r="D59" s="14">
        <v>4340</v>
      </c>
      <c r="E59" s="14">
        <v>4884</v>
      </c>
      <c r="F59" s="14">
        <v>6350</v>
      </c>
      <c r="G59" s="14">
        <v>4986</v>
      </c>
      <c r="H59" s="14">
        <v>6632</v>
      </c>
      <c r="I59" s="14">
        <v>6182</v>
      </c>
      <c r="J59" s="14">
        <v>5919</v>
      </c>
      <c r="K59" s="14">
        <v>5878</v>
      </c>
      <c r="L59" s="14">
        <v>4837</v>
      </c>
      <c r="M59" s="14">
        <v>4602</v>
      </c>
      <c r="N59" s="3">
        <f>SUM(B59:M59)</f>
        <v>63115</v>
      </c>
      <c r="O59" s="7"/>
      <c r="P59" s="7"/>
      <c r="Q59" s="7"/>
      <c r="R59" s="38"/>
    </row>
    <row r="60" spans="1:18" x14ac:dyDescent="0.25">
      <c r="A60" s="7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38"/>
    </row>
    <row r="61" spans="1:18" ht="15.75" x14ac:dyDescent="0.25">
      <c r="A61" s="75" t="s">
        <v>32</v>
      </c>
      <c r="B61" s="5">
        <f>+B62+B63</f>
        <v>171188</v>
      </c>
      <c r="C61" s="5">
        <f t="shared" ref="C61:N61" si="21">+C62+C63</f>
        <v>155535</v>
      </c>
      <c r="D61" s="5">
        <f t="shared" si="21"/>
        <v>185255</v>
      </c>
      <c r="E61" s="5">
        <f t="shared" si="21"/>
        <v>198318</v>
      </c>
      <c r="F61" s="5">
        <f t="shared" si="21"/>
        <v>204198</v>
      </c>
      <c r="G61" s="5">
        <f t="shared" si="21"/>
        <v>201591</v>
      </c>
      <c r="H61" s="5">
        <f t="shared" si="21"/>
        <v>223482</v>
      </c>
      <c r="I61" s="5">
        <f t="shared" si="21"/>
        <v>231757</v>
      </c>
      <c r="J61" s="5">
        <f t="shared" si="21"/>
        <v>223472</v>
      </c>
      <c r="K61" s="5">
        <f t="shared" si="21"/>
        <v>196455</v>
      </c>
      <c r="L61" s="5">
        <f t="shared" si="21"/>
        <v>200222</v>
      </c>
      <c r="M61" s="5">
        <f t="shared" si="21"/>
        <v>185213</v>
      </c>
      <c r="N61" s="5">
        <f t="shared" si="21"/>
        <v>2376686</v>
      </c>
      <c r="O61" s="41"/>
      <c r="P61" s="41"/>
      <c r="Q61" s="41"/>
      <c r="R61" s="43"/>
    </row>
    <row r="62" spans="1:18" x14ac:dyDescent="0.25">
      <c r="A62" s="74" t="s">
        <v>117</v>
      </c>
      <c r="B62" s="14">
        <v>156768</v>
      </c>
      <c r="C62" s="14">
        <v>146954</v>
      </c>
      <c r="D62" s="14">
        <v>173536</v>
      </c>
      <c r="E62" s="14">
        <v>188923</v>
      </c>
      <c r="F62" s="14">
        <v>193193</v>
      </c>
      <c r="G62" s="14">
        <v>189499</v>
      </c>
      <c r="H62" s="14">
        <v>207664</v>
      </c>
      <c r="I62" s="14">
        <v>215794</v>
      </c>
      <c r="J62" s="14">
        <v>205906</v>
      </c>
      <c r="K62" s="14">
        <v>177850</v>
      </c>
      <c r="L62" s="14">
        <v>181127</v>
      </c>
      <c r="M62" s="14">
        <v>173248</v>
      </c>
      <c r="N62" s="3">
        <f>SUM(B62:M62)</f>
        <v>2210462</v>
      </c>
      <c r="O62" s="7"/>
      <c r="P62" s="7"/>
      <c r="Q62" s="7"/>
      <c r="R62" s="38"/>
    </row>
    <row r="63" spans="1:18" x14ac:dyDescent="0.25">
      <c r="A63" s="74" t="s">
        <v>118</v>
      </c>
      <c r="B63" s="14">
        <v>14420</v>
      </c>
      <c r="C63" s="14">
        <v>8581</v>
      </c>
      <c r="D63" s="14">
        <v>11719</v>
      </c>
      <c r="E63" s="14">
        <v>9395</v>
      </c>
      <c r="F63" s="14">
        <v>11005</v>
      </c>
      <c r="G63" s="14">
        <v>12092</v>
      </c>
      <c r="H63" s="14">
        <v>15818</v>
      </c>
      <c r="I63" s="14">
        <v>15963</v>
      </c>
      <c r="J63" s="14">
        <v>17566</v>
      </c>
      <c r="K63" s="14">
        <v>18605</v>
      </c>
      <c r="L63" s="14">
        <v>19095</v>
      </c>
      <c r="M63" s="14">
        <v>11965</v>
      </c>
      <c r="N63" s="3">
        <f>SUM(B63:M63)</f>
        <v>166224</v>
      </c>
      <c r="O63" s="7"/>
      <c r="P63" s="7"/>
      <c r="Q63" s="7"/>
      <c r="R63" s="38"/>
    </row>
    <row r="64" spans="1:18" x14ac:dyDescent="0.25">
      <c r="A64" s="81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8"/>
    </row>
    <row r="65" spans="1:18" ht="15.75" x14ac:dyDescent="0.25">
      <c r="A65" s="75" t="s">
        <v>156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5">
        <f>SUM(B65:M65)</f>
        <v>0</v>
      </c>
      <c r="O65" s="41"/>
      <c r="P65" s="41"/>
      <c r="Q65" s="41"/>
      <c r="R65" s="43"/>
    </row>
    <row r="66" spans="1:18" ht="15.75" x14ac:dyDescent="0.25">
      <c r="A66" s="75" t="s">
        <v>157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5">
        <f>SUM(B66:M66)</f>
        <v>0</v>
      </c>
      <c r="O66" s="41"/>
      <c r="P66" s="41"/>
      <c r="Q66" s="41"/>
      <c r="R66" s="43"/>
    </row>
    <row r="67" spans="1:18" x14ac:dyDescent="0.25">
      <c r="A67" s="81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8"/>
    </row>
    <row r="68" spans="1:18" ht="15.75" x14ac:dyDescent="0.25">
      <c r="A68" s="75" t="s">
        <v>78</v>
      </c>
      <c r="B68" s="5">
        <f>+B69+B70+B71+B72+B73</f>
        <v>6451448.2000000002</v>
      </c>
      <c r="C68" s="5">
        <f t="shared" ref="C68:N68" si="22">+C69+C70+C71+C72+C73</f>
        <v>5990580.5899999999</v>
      </c>
      <c r="D68" s="5">
        <f t="shared" si="22"/>
        <v>7235418.080000001</v>
      </c>
      <c r="E68" s="5">
        <f t="shared" si="22"/>
        <v>8041008.6499999994</v>
      </c>
      <c r="F68" s="5">
        <f t="shared" si="22"/>
        <v>8173420.0000000009</v>
      </c>
      <c r="G68" s="5">
        <f t="shared" si="22"/>
        <v>8292119.1600000001</v>
      </c>
      <c r="H68" s="5">
        <f t="shared" si="22"/>
        <v>9752780.5999999996</v>
      </c>
      <c r="I68" s="5">
        <f t="shared" si="22"/>
        <v>10042134.25</v>
      </c>
      <c r="J68" s="5">
        <f t="shared" si="22"/>
        <v>9473083.5799999982</v>
      </c>
      <c r="K68" s="5">
        <f t="shared" si="22"/>
        <v>8010189.5500000017</v>
      </c>
      <c r="L68" s="5">
        <f t="shared" si="22"/>
        <v>7542222.7499999991</v>
      </c>
      <c r="M68" s="5">
        <f t="shared" si="22"/>
        <v>7603724.8000000007</v>
      </c>
      <c r="N68" s="5">
        <f t="shared" si="22"/>
        <v>96608130.210000008</v>
      </c>
      <c r="O68" s="41"/>
      <c r="P68" s="41"/>
      <c r="Q68" s="41"/>
      <c r="R68" s="43"/>
    </row>
    <row r="69" spans="1:18" x14ac:dyDescent="0.25">
      <c r="A69" s="74" t="s">
        <v>119</v>
      </c>
      <c r="B69" s="14">
        <v>1709567.49</v>
      </c>
      <c r="C69" s="14">
        <v>1873069.94</v>
      </c>
      <c r="D69" s="14">
        <v>1868720.97</v>
      </c>
      <c r="E69" s="14">
        <v>2181604.5099999998</v>
      </c>
      <c r="F69" s="14">
        <v>2150088.4300000002</v>
      </c>
      <c r="G69" s="14">
        <v>2209530.7000000002</v>
      </c>
      <c r="H69" s="14">
        <v>2711562.66</v>
      </c>
      <c r="I69" s="14">
        <v>2364341.8199999998</v>
      </c>
      <c r="J69" s="14">
        <v>2445177.4700000002</v>
      </c>
      <c r="K69" s="14">
        <v>2252882.4900000002</v>
      </c>
      <c r="L69" s="14">
        <v>2313108.0299999998</v>
      </c>
      <c r="M69" s="14">
        <v>2540001.2000000002</v>
      </c>
      <c r="N69" s="3">
        <f>SUM(B69:M69)</f>
        <v>26619655.709999997</v>
      </c>
      <c r="O69" s="7"/>
      <c r="P69" s="7"/>
      <c r="Q69" s="7"/>
      <c r="R69" s="38"/>
    </row>
    <row r="70" spans="1:18" x14ac:dyDescent="0.25">
      <c r="A70" s="74" t="s">
        <v>120</v>
      </c>
      <c r="B70" s="14">
        <v>274772.21000000002</v>
      </c>
      <c r="C70" s="14">
        <v>260805.96</v>
      </c>
      <c r="D70" s="14">
        <v>261558.36</v>
      </c>
      <c r="E70" s="14">
        <v>307812.89</v>
      </c>
      <c r="F70" s="14">
        <v>316780.39</v>
      </c>
      <c r="G70" s="14">
        <v>335793.79</v>
      </c>
      <c r="H70" s="14">
        <v>398489.36</v>
      </c>
      <c r="I70" s="14">
        <v>400917.56</v>
      </c>
      <c r="J70" s="14">
        <v>360949.42</v>
      </c>
      <c r="K70" s="14">
        <v>373253.43</v>
      </c>
      <c r="L70" s="14">
        <v>386658.26</v>
      </c>
      <c r="M70" s="14">
        <v>363803.23</v>
      </c>
      <c r="N70" s="3">
        <f>SUM(B70:M70)</f>
        <v>4041594.86</v>
      </c>
      <c r="O70" s="7"/>
      <c r="P70" s="7"/>
      <c r="Q70" s="7"/>
      <c r="R70" s="38"/>
    </row>
    <row r="71" spans="1:18" x14ac:dyDescent="0.25">
      <c r="A71" s="74" t="s">
        <v>121</v>
      </c>
      <c r="B71" s="14">
        <v>4380752.16</v>
      </c>
      <c r="C71" s="14">
        <v>3779208.62</v>
      </c>
      <c r="D71" s="14">
        <v>5019385.9800000004</v>
      </c>
      <c r="E71" s="14">
        <v>5449227.2599999998</v>
      </c>
      <c r="F71" s="14">
        <v>5581221.8600000003</v>
      </c>
      <c r="G71" s="14">
        <v>5635579.6399999997</v>
      </c>
      <c r="H71" s="14">
        <v>6487771.7699999996</v>
      </c>
      <c r="I71" s="14">
        <v>7132211.3600000003</v>
      </c>
      <c r="J71" s="14">
        <v>6543131.3899999997</v>
      </c>
      <c r="K71" s="14">
        <v>5253394.95</v>
      </c>
      <c r="L71" s="14">
        <v>4728506.7699999996</v>
      </c>
      <c r="M71" s="14">
        <v>4610177.63</v>
      </c>
      <c r="N71" s="3">
        <f>SUM(B71:M71)</f>
        <v>64600569.390000008</v>
      </c>
      <c r="O71" s="7"/>
      <c r="P71" s="7"/>
      <c r="Q71" s="7"/>
      <c r="R71" s="38"/>
    </row>
    <row r="72" spans="1:18" x14ac:dyDescent="0.25">
      <c r="A72" s="74" t="s">
        <v>122</v>
      </c>
      <c r="B72" s="14">
        <v>27836.41</v>
      </c>
      <c r="C72" s="14">
        <v>27003.82</v>
      </c>
      <c r="D72" s="14">
        <v>28915.9</v>
      </c>
      <c r="E72" s="14">
        <v>39944.14</v>
      </c>
      <c r="F72" s="14">
        <v>46756.36</v>
      </c>
      <c r="G72" s="14">
        <v>49981.54</v>
      </c>
      <c r="H72" s="14">
        <v>71990.92</v>
      </c>
      <c r="I72" s="14">
        <v>67164</v>
      </c>
      <c r="J72" s="14">
        <v>49315.45</v>
      </c>
      <c r="K72" s="14">
        <v>54786.7</v>
      </c>
      <c r="L72" s="14">
        <v>51615.05</v>
      </c>
      <c r="M72" s="14">
        <v>27799.38</v>
      </c>
      <c r="N72" s="3">
        <f>SUM(B72:M72)</f>
        <v>543109.67000000004</v>
      </c>
      <c r="O72" s="7"/>
      <c r="P72" s="7"/>
      <c r="Q72" s="7"/>
      <c r="R72" s="38"/>
    </row>
    <row r="73" spans="1:18" x14ac:dyDescent="0.25">
      <c r="A73" s="74" t="s">
        <v>123</v>
      </c>
      <c r="B73" s="14">
        <v>58519.93</v>
      </c>
      <c r="C73" s="14">
        <v>50492.25</v>
      </c>
      <c r="D73" s="14">
        <v>56836.87</v>
      </c>
      <c r="E73" s="14">
        <v>62419.85</v>
      </c>
      <c r="F73" s="14">
        <v>78572.960000000006</v>
      </c>
      <c r="G73" s="14">
        <v>61233.49</v>
      </c>
      <c r="H73" s="14">
        <v>82965.89</v>
      </c>
      <c r="I73" s="14">
        <v>77499.509999999995</v>
      </c>
      <c r="J73" s="14">
        <v>74509.850000000006</v>
      </c>
      <c r="K73" s="14">
        <v>75871.98</v>
      </c>
      <c r="L73" s="14">
        <v>62334.64</v>
      </c>
      <c r="M73" s="14">
        <v>61943.360000000001</v>
      </c>
      <c r="N73" s="3">
        <f>SUM(B73:M73)</f>
        <v>803200.58</v>
      </c>
      <c r="O73" s="7"/>
      <c r="P73" s="7"/>
      <c r="Q73" s="7"/>
      <c r="R73" s="38"/>
    </row>
    <row r="74" spans="1:18" x14ac:dyDescent="0.25">
      <c r="A74" s="74"/>
      <c r="B74" s="4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8"/>
    </row>
    <row r="75" spans="1:18" ht="15.75" x14ac:dyDescent="0.25">
      <c r="A75" s="75" t="s">
        <v>83</v>
      </c>
      <c r="B75" s="5">
        <f t="shared" ref="B75:M75" si="23">SUM(B76:B80)</f>
        <v>6349683.2300000004</v>
      </c>
      <c r="C75" s="5">
        <f t="shared" si="23"/>
        <v>6132057.1699999999</v>
      </c>
      <c r="D75" s="5">
        <f t="shared" si="23"/>
        <v>5715526.6999999993</v>
      </c>
      <c r="E75" s="5">
        <f t="shared" si="23"/>
        <v>6747177.9199999999</v>
      </c>
      <c r="F75" s="5">
        <f t="shared" si="23"/>
        <v>7463913.3799999999</v>
      </c>
      <c r="G75" s="5">
        <f t="shared" si="23"/>
        <v>7521448.5700000003</v>
      </c>
      <c r="H75" s="5">
        <f t="shared" si="23"/>
        <v>7585956.1000000006</v>
      </c>
      <c r="I75" s="5">
        <f t="shared" si="23"/>
        <v>8890184.5899999999</v>
      </c>
      <c r="J75" s="5">
        <f t="shared" si="23"/>
        <v>9291573.5500000007</v>
      </c>
      <c r="K75" s="5">
        <f t="shared" si="23"/>
        <v>8717897.5</v>
      </c>
      <c r="L75" s="5">
        <f t="shared" si="23"/>
        <v>7524051.5599999996</v>
      </c>
      <c r="M75" s="5">
        <f t="shared" si="23"/>
        <v>6866377.0100000007</v>
      </c>
      <c r="N75" s="5">
        <f t="shared" ref="N75:N80" si="24">SUM(B75:M75)</f>
        <v>88805847.280000001</v>
      </c>
      <c r="O75" s="41"/>
      <c r="P75" s="41"/>
      <c r="Q75" s="41"/>
      <c r="R75" s="43"/>
    </row>
    <row r="76" spans="1:18" x14ac:dyDescent="0.25">
      <c r="A76" s="74" t="s">
        <v>124</v>
      </c>
      <c r="B76" s="14">
        <v>1599971.91</v>
      </c>
      <c r="C76" s="14">
        <v>1281562.1599999999</v>
      </c>
      <c r="D76" s="14">
        <v>1572199.59</v>
      </c>
      <c r="E76" s="14">
        <v>1445190.92</v>
      </c>
      <c r="F76" s="14">
        <v>1674262.88</v>
      </c>
      <c r="G76" s="14">
        <v>1685283.58</v>
      </c>
      <c r="H76" s="14">
        <v>1704381.32</v>
      </c>
      <c r="I76" s="14">
        <v>1983447.59</v>
      </c>
      <c r="J76" s="14">
        <v>1805445.94</v>
      </c>
      <c r="K76" s="14">
        <v>1857778.04</v>
      </c>
      <c r="L76" s="14">
        <v>1943062.34</v>
      </c>
      <c r="M76" s="14">
        <v>1711586.58</v>
      </c>
      <c r="N76" s="3">
        <f t="shared" si="24"/>
        <v>20264172.850000001</v>
      </c>
      <c r="O76" s="7"/>
      <c r="P76" s="7"/>
      <c r="Q76" s="7"/>
      <c r="R76" s="38"/>
    </row>
    <row r="77" spans="1:18" x14ac:dyDescent="0.25">
      <c r="A77" s="74" t="s">
        <v>125</v>
      </c>
      <c r="B77" s="14">
        <v>263090.46999999997</v>
      </c>
      <c r="C77" s="14">
        <v>246723.38</v>
      </c>
      <c r="D77" s="14">
        <v>229893.69</v>
      </c>
      <c r="E77" s="14">
        <v>228957.3</v>
      </c>
      <c r="F77" s="14">
        <v>319915.40999999997</v>
      </c>
      <c r="G77" s="14">
        <v>253144.11</v>
      </c>
      <c r="H77" s="14">
        <v>268767.21000000002</v>
      </c>
      <c r="I77" s="14">
        <v>342928.4</v>
      </c>
      <c r="J77" s="14">
        <v>347954.2</v>
      </c>
      <c r="K77" s="14">
        <v>301598.43</v>
      </c>
      <c r="L77" s="14">
        <v>316729.53000000003</v>
      </c>
      <c r="M77" s="14">
        <v>312152.2</v>
      </c>
      <c r="N77" s="3">
        <f t="shared" si="24"/>
        <v>3431854.33</v>
      </c>
      <c r="O77" s="7"/>
      <c r="P77" s="7"/>
      <c r="Q77" s="7"/>
      <c r="R77" s="38"/>
    </row>
    <row r="78" spans="1:18" x14ac:dyDescent="0.25">
      <c r="A78" s="74" t="s">
        <v>126</v>
      </c>
      <c r="B78" s="14">
        <v>4377472.1900000004</v>
      </c>
      <c r="C78" s="14">
        <v>4472141.93</v>
      </c>
      <c r="D78" s="14">
        <v>3781785.77</v>
      </c>
      <c r="E78" s="14">
        <v>5011897.71</v>
      </c>
      <c r="F78" s="14">
        <v>5444203.8799999999</v>
      </c>
      <c r="G78" s="14">
        <v>5556627.54</v>
      </c>
      <c r="H78" s="14">
        <v>5574476.0700000003</v>
      </c>
      <c r="I78" s="14">
        <v>6532145.9299999997</v>
      </c>
      <c r="J78" s="14">
        <v>7106645.04</v>
      </c>
      <c r="K78" s="14">
        <v>6534983.4299999997</v>
      </c>
      <c r="L78" s="14">
        <v>5250515.62</v>
      </c>
      <c r="M78" s="14">
        <v>4773187.2</v>
      </c>
      <c r="N78" s="3">
        <f t="shared" si="24"/>
        <v>64416082.310000002</v>
      </c>
      <c r="O78" s="7"/>
      <c r="P78" s="7"/>
      <c r="Q78" s="7"/>
      <c r="R78" s="38"/>
    </row>
    <row r="79" spans="1:18" x14ac:dyDescent="0.25">
      <c r="A79" s="74" t="s">
        <v>127</v>
      </c>
      <c r="B79" s="14">
        <v>2114.25</v>
      </c>
      <c r="C79" s="14"/>
      <c r="D79" s="14">
        <v>9304.64</v>
      </c>
      <c r="E79" s="14">
        <v>57816.49</v>
      </c>
      <c r="F79" s="14">
        <v>23044.77</v>
      </c>
      <c r="G79" s="14">
        <v>26393.34</v>
      </c>
      <c r="H79" s="14">
        <v>34305.629999999997</v>
      </c>
      <c r="I79" s="14">
        <v>24837.98</v>
      </c>
      <c r="J79" s="14">
        <v>30977.4</v>
      </c>
      <c r="K79" s="14">
        <v>21328.95</v>
      </c>
      <c r="L79" s="14">
        <v>5451.3</v>
      </c>
      <c r="M79" s="14">
        <v>66988.33</v>
      </c>
      <c r="N79" s="3">
        <f t="shared" si="24"/>
        <v>302563.08</v>
      </c>
      <c r="O79" s="7"/>
      <c r="P79" s="7"/>
      <c r="Q79" s="7"/>
      <c r="R79" s="38"/>
    </row>
    <row r="80" spans="1:18" x14ac:dyDescent="0.25">
      <c r="A80" s="74" t="s">
        <v>128</v>
      </c>
      <c r="B80" s="14">
        <v>107034.41</v>
      </c>
      <c r="C80" s="14">
        <v>131629.70000000001</v>
      </c>
      <c r="D80" s="14">
        <v>122343.01</v>
      </c>
      <c r="E80" s="14">
        <v>3315.5</v>
      </c>
      <c r="F80" s="14">
        <v>2486.44</v>
      </c>
      <c r="G80" s="14">
        <v>0</v>
      </c>
      <c r="H80" s="14">
        <v>4025.87</v>
      </c>
      <c r="I80" s="14">
        <v>6824.69</v>
      </c>
      <c r="J80" s="14">
        <v>550.97</v>
      </c>
      <c r="K80" s="14">
        <v>2208.65</v>
      </c>
      <c r="L80" s="14">
        <v>8292.77</v>
      </c>
      <c r="M80" s="14">
        <v>2462.6999999999998</v>
      </c>
      <c r="N80" s="3">
        <f t="shared" si="24"/>
        <v>391174.71</v>
      </c>
      <c r="O80" s="7"/>
      <c r="P80" s="7"/>
      <c r="Q80" s="7"/>
      <c r="R80" s="38"/>
    </row>
    <row r="81" spans="1:18" x14ac:dyDescent="0.25">
      <c r="A81" s="82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60"/>
      <c r="O81" s="59"/>
      <c r="P81" s="59"/>
      <c r="Q81" s="59"/>
      <c r="R81" s="61"/>
    </row>
    <row r="82" spans="1:18" x14ac:dyDescent="0.25">
      <c r="A82" s="74" t="s">
        <v>130</v>
      </c>
      <c r="B82" s="14">
        <v>5562083.21</v>
      </c>
      <c r="C82" s="14">
        <v>5541932.1500000004</v>
      </c>
      <c r="D82" s="14">
        <v>4992744.3099999996</v>
      </c>
      <c r="E82" s="14">
        <v>6172304.3300000001</v>
      </c>
      <c r="F82" s="14">
        <v>6798474.04</v>
      </c>
      <c r="G82" s="14">
        <v>6881219</v>
      </c>
      <c r="H82" s="14">
        <v>6728056.2800000003</v>
      </c>
      <c r="I82" s="14">
        <v>8072681.1799999997</v>
      </c>
      <c r="J82" s="14">
        <v>8492993.5700000003</v>
      </c>
      <c r="K82" s="14">
        <v>7858866.5899999999</v>
      </c>
      <c r="L82" s="14">
        <v>6713180.4299999997</v>
      </c>
      <c r="M82" s="14">
        <v>6111244.4500000002</v>
      </c>
      <c r="N82" s="3"/>
      <c r="O82" s="7"/>
      <c r="P82" s="7"/>
      <c r="Q82" s="7"/>
      <c r="R82" s="38"/>
    </row>
    <row r="83" spans="1:18" x14ac:dyDescent="0.25">
      <c r="A83" s="74" t="s">
        <v>129</v>
      </c>
      <c r="B83" s="14">
        <v>787600.02</v>
      </c>
      <c r="C83" s="14">
        <v>590125.02</v>
      </c>
      <c r="D83" s="14">
        <v>722782.39</v>
      </c>
      <c r="E83" s="14">
        <v>574873.59</v>
      </c>
      <c r="F83" s="14">
        <v>665439.34</v>
      </c>
      <c r="G83" s="14">
        <v>640229.56999999995</v>
      </c>
      <c r="H83" s="14">
        <v>857899.82</v>
      </c>
      <c r="I83" s="14">
        <v>817503.41</v>
      </c>
      <c r="J83" s="14">
        <v>798579.98</v>
      </c>
      <c r="K83" s="14">
        <v>859030.9</v>
      </c>
      <c r="L83" s="14">
        <v>810871.13</v>
      </c>
      <c r="M83" s="14">
        <v>755132.56</v>
      </c>
      <c r="N83" s="3"/>
      <c r="O83" s="7"/>
      <c r="P83" s="7"/>
      <c r="Q83" s="7"/>
      <c r="R83" s="38"/>
    </row>
    <row r="84" spans="1:18" x14ac:dyDescent="0.25">
      <c r="A84" s="74"/>
      <c r="B84" s="4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38"/>
    </row>
    <row r="85" spans="1:18" x14ac:dyDescent="0.25">
      <c r="A85" s="83" t="s">
        <v>33</v>
      </c>
      <c r="B85" s="1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38"/>
    </row>
    <row r="86" spans="1:18" ht="15.75" x14ac:dyDescent="0.25">
      <c r="A86" s="75" t="s">
        <v>34</v>
      </c>
      <c r="B86" s="9">
        <f>+B87+B93</f>
        <v>10222</v>
      </c>
      <c r="C86" s="9">
        <f t="shared" ref="C86:M86" si="25">+C87+C93</f>
        <v>10199</v>
      </c>
      <c r="D86" s="9">
        <f t="shared" si="25"/>
        <v>10195</v>
      </c>
      <c r="E86" s="9">
        <f t="shared" si="25"/>
        <v>10196</v>
      </c>
      <c r="F86" s="9">
        <f t="shared" si="25"/>
        <v>10201</v>
      </c>
      <c r="G86" s="9">
        <f t="shared" si="25"/>
        <v>10198</v>
      </c>
      <c r="H86" s="9">
        <f t="shared" si="25"/>
        <v>10195</v>
      </c>
      <c r="I86" s="9">
        <f t="shared" si="25"/>
        <v>10199</v>
      </c>
      <c r="J86" s="9">
        <f t="shared" si="25"/>
        <v>10207</v>
      </c>
      <c r="K86" s="9">
        <f t="shared" si="25"/>
        <v>10209</v>
      </c>
      <c r="L86" s="9">
        <f t="shared" si="25"/>
        <v>10198</v>
      </c>
      <c r="M86" s="9">
        <f t="shared" si="25"/>
        <v>10189</v>
      </c>
      <c r="N86" s="47"/>
      <c r="O86" s="47"/>
      <c r="P86" s="41"/>
      <c r="Q86" s="41"/>
      <c r="R86" s="43"/>
    </row>
    <row r="87" spans="1:18" x14ac:dyDescent="0.25">
      <c r="A87" s="84" t="s">
        <v>35</v>
      </c>
      <c r="B87" s="10">
        <f>+B88+B89+B90+B91+B92</f>
        <v>10222</v>
      </c>
      <c r="C87" s="10">
        <f t="shared" ref="C87:M87" si="26">+C88+C89+C90+C91+C92</f>
        <v>10199</v>
      </c>
      <c r="D87" s="10">
        <f t="shared" si="26"/>
        <v>10195</v>
      </c>
      <c r="E87" s="10">
        <f t="shared" si="26"/>
        <v>10196</v>
      </c>
      <c r="F87" s="10">
        <f t="shared" si="26"/>
        <v>10201</v>
      </c>
      <c r="G87" s="10">
        <f t="shared" si="26"/>
        <v>10198</v>
      </c>
      <c r="H87" s="10">
        <f t="shared" si="26"/>
        <v>10195</v>
      </c>
      <c r="I87" s="10">
        <f t="shared" si="26"/>
        <v>10199</v>
      </c>
      <c r="J87" s="10">
        <f t="shared" si="26"/>
        <v>10207</v>
      </c>
      <c r="K87" s="10">
        <f t="shared" si="26"/>
        <v>10209</v>
      </c>
      <c r="L87" s="10">
        <f t="shared" si="26"/>
        <v>10198</v>
      </c>
      <c r="M87" s="10">
        <f t="shared" si="26"/>
        <v>10189</v>
      </c>
      <c r="N87" s="48"/>
      <c r="O87" s="48"/>
      <c r="P87" s="42"/>
      <c r="Q87" s="42"/>
      <c r="R87" s="49"/>
    </row>
    <row r="88" spans="1:18" x14ac:dyDescent="0.25">
      <c r="A88" s="73" t="s">
        <v>131</v>
      </c>
      <c r="B88" s="17">
        <v>9349</v>
      </c>
      <c r="C88" s="17">
        <v>9337</v>
      </c>
      <c r="D88" s="17">
        <v>9334</v>
      </c>
      <c r="E88" s="17">
        <v>9339</v>
      </c>
      <c r="F88" s="17">
        <v>9348</v>
      </c>
      <c r="G88" s="17">
        <v>9348</v>
      </c>
      <c r="H88" s="17">
        <v>9347</v>
      </c>
      <c r="I88" s="17">
        <v>9350</v>
      </c>
      <c r="J88" s="17">
        <v>9352</v>
      </c>
      <c r="K88" s="17">
        <v>9345</v>
      </c>
      <c r="L88" s="17">
        <v>9330</v>
      </c>
      <c r="M88" s="17">
        <v>9326</v>
      </c>
      <c r="N88" s="11"/>
      <c r="O88" s="11"/>
      <c r="P88" s="7"/>
      <c r="Q88" s="7"/>
      <c r="R88" s="38"/>
    </row>
    <row r="89" spans="1:18" x14ac:dyDescent="0.25">
      <c r="A89" s="73" t="s">
        <v>132</v>
      </c>
      <c r="B89" s="17">
        <v>673</v>
      </c>
      <c r="C89" s="17">
        <v>673</v>
      </c>
      <c r="D89" s="17">
        <v>673</v>
      </c>
      <c r="E89" s="17">
        <v>672</v>
      </c>
      <c r="F89" s="17">
        <v>669</v>
      </c>
      <c r="G89" s="17">
        <v>667</v>
      </c>
      <c r="H89" s="17">
        <v>665</v>
      </c>
      <c r="I89" s="17">
        <v>666</v>
      </c>
      <c r="J89" s="17">
        <v>671</v>
      </c>
      <c r="K89" s="17">
        <v>678</v>
      </c>
      <c r="L89" s="17">
        <v>679</v>
      </c>
      <c r="M89" s="17">
        <v>677</v>
      </c>
      <c r="N89" s="11"/>
      <c r="O89" s="11"/>
      <c r="P89" s="7"/>
      <c r="Q89" s="7"/>
      <c r="R89" s="38"/>
    </row>
    <row r="90" spans="1:18" x14ac:dyDescent="0.25">
      <c r="A90" s="73" t="s">
        <v>133</v>
      </c>
      <c r="B90" s="17">
        <v>24</v>
      </c>
      <c r="C90" s="17">
        <v>22</v>
      </c>
      <c r="D90" s="17">
        <v>22</v>
      </c>
      <c r="E90" s="17">
        <v>22</v>
      </c>
      <c r="F90" s="17">
        <v>21</v>
      </c>
      <c r="G90" s="17">
        <v>21</v>
      </c>
      <c r="H90" s="17">
        <v>21</v>
      </c>
      <c r="I90" s="17">
        <v>21</v>
      </c>
      <c r="J90" s="17">
        <v>21</v>
      </c>
      <c r="K90" s="17">
        <v>21</v>
      </c>
      <c r="L90" s="17">
        <v>21</v>
      </c>
      <c r="M90" s="17">
        <v>21</v>
      </c>
      <c r="N90" s="11"/>
      <c r="O90" s="11"/>
      <c r="P90" s="7"/>
      <c r="Q90" s="7"/>
      <c r="R90" s="38"/>
    </row>
    <row r="91" spans="1:18" x14ac:dyDescent="0.25">
      <c r="A91" s="73" t="s">
        <v>134</v>
      </c>
      <c r="B91" s="17">
        <v>61</v>
      </c>
      <c r="C91" s="17">
        <v>61</v>
      </c>
      <c r="D91" s="17">
        <v>61</v>
      </c>
      <c r="E91" s="17">
        <v>61</v>
      </c>
      <c r="F91" s="17">
        <v>61</v>
      </c>
      <c r="G91" s="17">
        <v>61</v>
      </c>
      <c r="H91" s="17">
        <v>61</v>
      </c>
      <c r="I91" s="17">
        <v>61</v>
      </c>
      <c r="J91" s="17">
        <v>61</v>
      </c>
      <c r="K91" s="17">
        <v>61</v>
      </c>
      <c r="L91" s="17">
        <v>61</v>
      </c>
      <c r="M91" s="17">
        <v>61</v>
      </c>
      <c r="N91" s="11"/>
      <c r="O91" s="11"/>
      <c r="P91" s="7"/>
      <c r="Q91" s="7"/>
      <c r="R91" s="38"/>
    </row>
    <row r="92" spans="1:18" x14ac:dyDescent="0.25">
      <c r="A92" s="73" t="s">
        <v>135</v>
      </c>
      <c r="B92" s="17">
        <v>115</v>
      </c>
      <c r="C92" s="17">
        <v>106</v>
      </c>
      <c r="D92" s="17">
        <v>105</v>
      </c>
      <c r="E92" s="17">
        <v>102</v>
      </c>
      <c r="F92" s="17">
        <v>102</v>
      </c>
      <c r="G92" s="17">
        <v>101</v>
      </c>
      <c r="H92" s="17">
        <v>101</v>
      </c>
      <c r="I92" s="17">
        <v>101</v>
      </c>
      <c r="J92" s="17">
        <v>102</v>
      </c>
      <c r="K92" s="17">
        <v>104</v>
      </c>
      <c r="L92" s="17">
        <v>107</v>
      </c>
      <c r="M92" s="17">
        <v>104</v>
      </c>
      <c r="N92" s="11"/>
      <c r="O92" s="11"/>
      <c r="P92" s="7"/>
      <c r="Q92" s="7"/>
      <c r="R92" s="38"/>
    </row>
    <row r="93" spans="1:18" x14ac:dyDescent="0.25">
      <c r="A93" s="84" t="s">
        <v>36</v>
      </c>
      <c r="B93" s="10">
        <f>+B94+B95+B96+B97+B98</f>
        <v>0</v>
      </c>
      <c r="C93" s="10">
        <f t="shared" ref="C93:M93" si="27">+C94+C95+C96+C97+C98</f>
        <v>0</v>
      </c>
      <c r="D93" s="10">
        <f t="shared" si="27"/>
        <v>0</v>
      </c>
      <c r="E93" s="10">
        <f t="shared" si="27"/>
        <v>0</v>
      </c>
      <c r="F93" s="10">
        <f t="shared" si="27"/>
        <v>0</v>
      </c>
      <c r="G93" s="10">
        <f t="shared" si="27"/>
        <v>0</v>
      </c>
      <c r="H93" s="10">
        <f t="shared" si="27"/>
        <v>0</v>
      </c>
      <c r="I93" s="10">
        <f t="shared" si="27"/>
        <v>0</v>
      </c>
      <c r="J93" s="10">
        <f t="shared" si="27"/>
        <v>0</v>
      </c>
      <c r="K93" s="10">
        <f t="shared" si="27"/>
        <v>0</v>
      </c>
      <c r="L93" s="10">
        <f t="shared" si="27"/>
        <v>0</v>
      </c>
      <c r="M93" s="10">
        <f t="shared" si="27"/>
        <v>0</v>
      </c>
      <c r="N93" s="48"/>
      <c r="O93" s="48"/>
      <c r="P93" s="42"/>
      <c r="Q93" s="42"/>
      <c r="R93" s="49"/>
    </row>
    <row r="94" spans="1:18" x14ac:dyDescent="0.25">
      <c r="A94" s="73" t="s">
        <v>136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1"/>
      <c r="O94" s="11"/>
      <c r="P94" s="7"/>
      <c r="Q94" s="7"/>
      <c r="R94" s="38"/>
    </row>
    <row r="95" spans="1:18" x14ac:dyDescent="0.25">
      <c r="A95" s="71" t="s">
        <v>137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1"/>
      <c r="O95" s="11"/>
      <c r="P95" s="7"/>
      <c r="Q95" s="7"/>
      <c r="R95" s="38"/>
    </row>
    <row r="96" spans="1:18" x14ac:dyDescent="0.25">
      <c r="A96" s="73" t="s">
        <v>138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1"/>
      <c r="O96" s="11"/>
      <c r="P96" s="7"/>
      <c r="Q96" s="7"/>
      <c r="R96" s="38"/>
    </row>
    <row r="97" spans="1:18" x14ac:dyDescent="0.25">
      <c r="A97" s="73" t="s">
        <v>139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1"/>
      <c r="O97" s="11"/>
      <c r="P97" s="7"/>
      <c r="Q97" s="7"/>
      <c r="R97" s="38"/>
    </row>
    <row r="98" spans="1:18" x14ac:dyDescent="0.25">
      <c r="A98" s="73" t="s">
        <v>140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1"/>
      <c r="O98" s="11"/>
      <c r="P98" s="7"/>
      <c r="Q98" s="7"/>
      <c r="R98" s="38"/>
    </row>
    <row r="99" spans="1:18" ht="15.75" x14ac:dyDescent="0.25">
      <c r="A99" s="75" t="s">
        <v>79</v>
      </c>
      <c r="B99" s="18">
        <v>9871</v>
      </c>
      <c r="C99" s="18">
        <v>9876</v>
      </c>
      <c r="D99" s="18">
        <v>9883</v>
      </c>
      <c r="E99" s="18">
        <v>9894</v>
      </c>
      <c r="F99" s="18">
        <v>9909</v>
      </c>
      <c r="G99" s="18">
        <v>9913</v>
      </c>
      <c r="H99" s="18">
        <v>9919</v>
      </c>
      <c r="I99" s="18">
        <v>9923</v>
      </c>
      <c r="J99" s="18">
        <v>9936</v>
      </c>
      <c r="K99" s="18">
        <v>9937</v>
      </c>
      <c r="L99" s="18">
        <v>9937</v>
      </c>
      <c r="M99" s="18">
        <v>9937</v>
      </c>
      <c r="N99" s="47"/>
      <c r="O99" s="47"/>
      <c r="P99" s="41"/>
      <c r="Q99" s="41"/>
      <c r="R99" s="43"/>
    </row>
    <row r="100" spans="1:18" x14ac:dyDescent="0.25">
      <c r="A100" s="81"/>
      <c r="B100" s="1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38"/>
    </row>
    <row r="101" spans="1:18" ht="15.75" x14ac:dyDescent="0.25">
      <c r="A101" s="85" t="s">
        <v>37</v>
      </c>
      <c r="B101" s="1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38"/>
    </row>
    <row r="102" spans="1:18" ht="15.75" x14ac:dyDescent="0.25">
      <c r="A102" s="75" t="s">
        <v>38</v>
      </c>
      <c r="B102" s="5">
        <f>+B103+B107+B108</f>
        <v>30477696.289999999</v>
      </c>
      <c r="C102" s="5">
        <f t="shared" ref="C102:M102" si="28">+C103+C107+C108</f>
        <v>30604551.549999997</v>
      </c>
      <c r="D102" s="5">
        <f t="shared" si="28"/>
        <v>39861233.410000004</v>
      </c>
      <c r="E102" s="5">
        <f t="shared" si="28"/>
        <v>39687127.993000001</v>
      </c>
      <c r="F102" s="5">
        <f t="shared" si="28"/>
        <v>40357899.039999999</v>
      </c>
      <c r="G102" s="5">
        <f t="shared" si="28"/>
        <v>40884626.560000002</v>
      </c>
      <c r="H102" s="5">
        <f t="shared" si="28"/>
        <v>41384330.989999995</v>
      </c>
      <c r="I102" s="5">
        <f t="shared" si="28"/>
        <v>41955116.999999993</v>
      </c>
      <c r="J102" s="5">
        <f t="shared" si="28"/>
        <v>42238485.859999992</v>
      </c>
      <c r="K102" s="5">
        <f t="shared" si="28"/>
        <v>42419038.330000006</v>
      </c>
      <c r="L102" s="5">
        <f t="shared" si="28"/>
        <v>38691626.109999999</v>
      </c>
      <c r="M102" s="5">
        <f t="shared" si="28"/>
        <v>38380285.030000001</v>
      </c>
      <c r="N102" s="41"/>
      <c r="O102" s="41"/>
      <c r="P102" s="41"/>
      <c r="Q102" s="41"/>
      <c r="R102" s="43"/>
    </row>
    <row r="103" spans="1:18" x14ac:dyDescent="0.25">
      <c r="A103" s="74" t="s">
        <v>39</v>
      </c>
      <c r="B103" s="3">
        <f>+B104+B105+B106</f>
        <v>12522333.92</v>
      </c>
      <c r="C103" s="3">
        <f t="shared" ref="C103:M103" si="29">+C104+C105+C106</f>
        <v>12781474.949999999</v>
      </c>
      <c r="D103" s="3">
        <f t="shared" si="29"/>
        <v>20837347.970000003</v>
      </c>
      <c r="E103" s="3">
        <f t="shared" si="29"/>
        <v>20988666.302999999</v>
      </c>
      <c r="F103" s="3">
        <f t="shared" si="29"/>
        <v>21513865.300000001</v>
      </c>
      <c r="G103" s="3">
        <f t="shared" si="29"/>
        <v>21949330.800000001</v>
      </c>
      <c r="H103" s="3">
        <f t="shared" si="29"/>
        <v>22384181.399999999</v>
      </c>
      <c r="I103" s="3">
        <f t="shared" si="29"/>
        <v>22836426.059999999</v>
      </c>
      <c r="J103" s="3">
        <f t="shared" si="29"/>
        <v>23009348.369999997</v>
      </c>
      <c r="K103" s="3">
        <f t="shared" si="29"/>
        <v>23106172.100000001</v>
      </c>
      <c r="L103" s="3">
        <f t="shared" si="29"/>
        <v>19254772.119999997</v>
      </c>
      <c r="M103" s="3">
        <f t="shared" si="29"/>
        <v>18900791.390000001</v>
      </c>
      <c r="N103" s="7"/>
      <c r="O103" s="7"/>
      <c r="P103" s="7"/>
      <c r="Q103" s="7"/>
      <c r="R103" s="38"/>
    </row>
    <row r="104" spans="1:18" x14ac:dyDescent="0.25">
      <c r="A104" s="73" t="s">
        <v>141</v>
      </c>
      <c r="B104" s="14">
        <v>11425916.85</v>
      </c>
      <c r="C104" s="14">
        <v>11663082.92</v>
      </c>
      <c r="D104" s="14">
        <v>19477737.07</v>
      </c>
      <c r="E104" s="14">
        <v>19613353</v>
      </c>
      <c r="F104" s="14">
        <v>20099135.539999999</v>
      </c>
      <c r="G104" s="14">
        <v>20470426.07</v>
      </c>
      <c r="H104" s="14">
        <v>20739228.489999998</v>
      </c>
      <c r="I104" s="14">
        <v>21201585.859999999</v>
      </c>
      <c r="J104" s="14">
        <v>21334593.829999998</v>
      </c>
      <c r="K104" s="14">
        <v>21361827.510000002</v>
      </c>
      <c r="L104" s="14">
        <v>17683117.399999999</v>
      </c>
      <c r="M104" s="14">
        <v>17376669.030000001</v>
      </c>
      <c r="N104" s="7"/>
      <c r="O104" s="7"/>
      <c r="P104" s="7"/>
      <c r="Q104" s="7"/>
      <c r="R104" s="38"/>
    </row>
    <row r="105" spans="1:18" x14ac:dyDescent="0.25">
      <c r="A105" s="73" t="s">
        <v>142</v>
      </c>
      <c r="B105" s="14">
        <v>1048601.29</v>
      </c>
      <c r="C105" s="14">
        <v>1114613.53</v>
      </c>
      <c r="D105" s="14">
        <v>1358373.55</v>
      </c>
      <c r="E105" s="14">
        <v>1366819.82</v>
      </c>
      <c r="F105" s="14">
        <v>1410354.6</v>
      </c>
      <c r="G105" s="14">
        <v>1448653.55</v>
      </c>
      <c r="H105" s="14">
        <v>1552635.8</v>
      </c>
      <c r="I105" s="14">
        <v>1588312.06</v>
      </c>
      <c r="J105" s="14">
        <v>1601065.22</v>
      </c>
      <c r="K105" s="14">
        <v>1667478.95</v>
      </c>
      <c r="L105" s="14">
        <v>1521262.56</v>
      </c>
      <c r="M105" s="14">
        <v>1519150.31</v>
      </c>
      <c r="N105" s="7"/>
      <c r="O105" s="7"/>
      <c r="P105" s="7"/>
      <c r="Q105" s="7"/>
      <c r="R105" s="38"/>
    </row>
    <row r="106" spans="1:18" x14ac:dyDescent="0.25">
      <c r="A106" s="73" t="s">
        <v>143</v>
      </c>
      <c r="B106" s="14">
        <v>47815.78</v>
      </c>
      <c r="C106" s="14">
        <v>3778.5</v>
      </c>
      <c r="D106" s="14">
        <v>1237.3499999999999</v>
      </c>
      <c r="E106" s="14">
        <v>8493.4830000000002</v>
      </c>
      <c r="F106" s="14">
        <v>4375.16</v>
      </c>
      <c r="G106" s="14">
        <v>30251.18</v>
      </c>
      <c r="H106" s="14">
        <v>92317.11</v>
      </c>
      <c r="I106" s="14">
        <v>46528.14</v>
      </c>
      <c r="J106" s="14">
        <v>73689.320000000007</v>
      </c>
      <c r="K106" s="14">
        <v>76865.64</v>
      </c>
      <c r="L106" s="14">
        <v>50392.160000000003</v>
      </c>
      <c r="M106" s="14">
        <v>4972.05</v>
      </c>
      <c r="N106" s="7"/>
      <c r="O106" s="7"/>
      <c r="P106" s="7"/>
      <c r="Q106" s="7"/>
      <c r="R106" s="38"/>
    </row>
    <row r="107" spans="1:18" x14ac:dyDescent="0.25">
      <c r="A107" s="74" t="s">
        <v>144</v>
      </c>
      <c r="B107" s="14">
        <v>13019547.92</v>
      </c>
      <c r="C107" s="14">
        <v>13047307.17</v>
      </c>
      <c r="D107" s="14">
        <v>13671755.27</v>
      </c>
      <c r="E107" s="14">
        <v>13698953.76</v>
      </c>
      <c r="F107" s="14">
        <v>13738870.560000001</v>
      </c>
      <c r="G107" s="14">
        <v>13787330.32</v>
      </c>
      <c r="H107" s="14">
        <v>13835743.609999999</v>
      </c>
      <c r="I107" s="14">
        <v>13905131.68</v>
      </c>
      <c r="J107" s="14">
        <v>13975300.34</v>
      </c>
      <c r="K107" s="14">
        <v>14025665.91</v>
      </c>
      <c r="L107" s="14">
        <v>14076524.890000001</v>
      </c>
      <c r="M107" s="14">
        <v>14127784.210000001</v>
      </c>
      <c r="N107" s="7"/>
      <c r="O107" s="7"/>
      <c r="P107" s="7"/>
      <c r="Q107" s="7"/>
      <c r="R107" s="38"/>
    </row>
    <row r="108" spans="1:18" x14ac:dyDescent="0.25">
      <c r="A108" s="74" t="s">
        <v>145</v>
      </c>
      <c r="B108" s="14">
        <v>4935814.45</v>
      </c>
      <c r="C108" s="14">
        <v>4775769.43</v>
      </c>
      <c r="D108" s="14">
        <v>5352130.17</v>
      </c>
      <c r="E108" s="14">
        <v>4999507.93</v>
      </c>
      <c r="F108" s="14">
        <v>5105163.18</v>
      </c>
      <c r="G108" s="14">
        <v>5147965.4400000004</v>
      </c>
      <c r="H108" s="14">
        <v>5164405.9800000004</v>
      </c>
      <c r="I108" s="14">
        <v>5213559.26</v>
      </c>
      <c r="J108" s="14">
        <v>5253837.1500000004</v>
      </c>
      <c r="K108" s="14">
        <v>5287200.32</v>
      </c>
      <c r="L108" s="14">
        <v>5360329.0999999996</v>
      </c>
      <c r="M108" s="14">
        <v>5351709.43</v>
      </c>
      <c r="N108" s="7"/>
      <c r="O108" s="7"/>
      <c r="P108" s="7"/>
      <c r="Q108" s="7"/>
      <c r="R108" s="38"/>
    </row>
    <row r="109" spans="1:18" x14ac:dyDescent="0.25">
      <c r="A109" s="7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38"/>
    </row>
    <row r="110" spans="1:18" ht="15.75" x14ac:dyDescent="0.25">
      <c r="A110" s="86" t="s">
        <v>93</v>
      </c>
      <c r="B110" s="26">
        <f>+B111+B112+B113+B114</f>
        <v>4110</v>
      </c>
      <c r="C110" s="26">
        <f t="shared" ref="C110:M110" si="30">+C111+C112+C113+C114</f>
        <v>4809</v>
      </c>
      <c r="D110" s="26">
        <f t="shared" si="30"/>
        <v>4425</v>
      </c>
      <c r="E110" s="26">
        <f t="shared" si="30"/>
        <v>4670</v>
      </c>
      <c r="F110" s="26">
        <f t="shared" si="30"/>
        <v>4428</v>
      </c>
      <c r="G110" s="26">
        <f t="shared" si="30"/>
        <v>4548</v>
      </c>
      <c r="H110" s="26">
        <f t="shared" si="30"/>
        <v>4797</v>
      </c>
      <c r="I110" s="26">
        <f t="shared" si="30"/>
        <v>4653</v>
      </c>
      <c r="J110" s="26">
        <f t="shared" si="30"/>
        <v>4710</v>
      </c>
      <c r="K110" s="26">
        <f t="shared" si="30"/>
        <v>3895</v>
      </c>
      <c r="L110" s="26">
        <f t="shared" si="30"/>
        <v>3882</v>
      </c>
      <c r="M110" s="26">
        <f t="shared" si="30"/>
        <v>4325</v>
      </c>
      <c r="N110" s="7"/>
      <c r="O110" s="7"/>
      <c r="P110" s="7"/>
      <c r="Q110" s="7"/>
      <c r="R110" s="38"/>
    </row>
    <row r="111" spans="1:18" x14ac:dyDescent="0.25">
      <c r="A111" s="74" t="s">
        <v>90</v>
      </c>
      <c r="B111" s="17">
        <v>1859</v>
      </c>
      <c r="C111" s="17">
        <v>2549</v>
      </c>
      <c r="D111" s="17">
        <v>2184</v>
      </c>
      <c r="E111" s="17">
        <v>2462</v>
      </c>
      <c r="F111" s="17">
        <v>2236</v>
      </c>
      <c r="G111" s="17">
        <v>2378</v>
      </c>
      <c r="H111" s="17">
        <v>2623</v>
      </c>
      <c r="I111" s="17">
        <v>2425</v>
      </c>
      <c r="J111" s="17">
        <v>2480</v>
      </c>
      <c r="K111" s="17">
        <v>1809</v>
      </c>
      <c r="L111" s="17">
        <v>2018</v>
      </c>
      <c r="M111" s="17">
        <v>2470</v>
      </c>
      <c r="N111" s="11"/>
      <c r="O111" s="11"/>
      <c r="P111" s="11"/>
      <c r="Q111" s="7"/>
      <c r="R111" s="38"/>
    </row>
    <row r="112" spans="1:18" x14ac:dyDescent="0.25">
      <c r="A112" s="74" t="s">
        <v>89</v>
      </c>
      <c r="B112" s="17">
        <v>400</v>
      </c>
      <c r="C112" s="17">
        <v>410</v>
      </c>
      <c r="D112" s="17">
        <v>366</v>
      </c>
      <c r="E112" s="17">
        <v>343</v>
      </c>
      <c r="F112" s="17">
        <v>348</v>
      </c>
      <c r="G112" s="17">
        <v>335</v>
      </c>
      <c r="H112" s="17">
        <v>333</v>
      </c>
      <c r="I112" s="17">
        <v>394</v>
      </c>
      <c r="J112" s="17">
        <v>357</v>
      </c>
      <c r="K112" s="17">
        <v>561</v>
      </c>
      <c r="L112" s="17">
        <v>620</v>
      </c>
      <c r="M112" s="17">
        <v>629</v>
      </c>
      <c r="N112" s="11"/>
      <c r="O112" s="11"/>
      <c r="P112" s="11"/>
      <c r="Q112" s="7"/>
      <c r="R112" s="38"/>
    </row>
    <row r="113" spans="1:18" x14ac:dyDescent="0.25">
      <c r="A113" s="74" t="s">
        <v>91</v>
      </c>
      <c r="B113" s="17">
        <v>375</v>
      </c>
      <c r="C113" s="17">
        <v>365</v>
      </c>
      <c r="D113" s="17">
        <v>382</v>
      </c>
      <c r="E113" s="17">
        <v>365</v>
      </c>
      <c r="F113" s="17">
        <v>324</v>
      </c>
      <c r="G113" s="17">
        <v>316</v>
      </c>
      <c r="H113" s="17">
        <v>319</v>
      </c>
      <c r="I113" s="17">
        <v>303</v>
      </c>
      <c r="J113" s="17">
        <v>342</v>
      </c>
      <c r="K113" s="17">
        <v>292</v>
      </c>
      <c r="L113" s="17">
        <v>255</v>
      </c>
      <c r="M113" s="17">
        <v>290</v>
      </c>
      <c r="N113" s="11"/>
      <c r="O113" s="11"/>
      <c r="P113" s="11"/>
      <c r="Q113" s="7"/>
      <c r="R113" s="38"/>
    </row>
    <row r="114" spans="1:18" x14ac:dyDescent="0.25">
      <c r="A114" s="74" t="s">
        <v>92</v>
      </c>
      <c r="B114" s="17">
        <v>1476</v>
      </c>
      <c r="C114" s="17">
        <v>1485</v>
      </c>
      <c r="D114" s="17">
        <v>1493</v>
      </c>
      <c r="E114" s="17">
        <v>1500</v>
      </c>
      <c r="F114" s="17">
        <v>1520</v>
      </c>
      <c r="G114" s="17">
        <v>1519</v>
      </c>
      <c r="H114" s="17">
        <v>1522</v>
      </c>
      <c r="I114" s="17">
        <v>1531</v>
      </c>
      <c r="J114" s="17">
        <v>1531</v>
      </c>
      <c r="K114" s="17">
        <v>1233</v>
      </c>
      <c r="L114" s="17">
        <v>989</v>
      </c>
      <c r="M114" s="17">
        <v>936</v>
      </c>
      <c r="N114" s="11"/>
      <c r="O114" s="11"/>
      <c r="P114" s="11"/>
      <c r="Q114" s="7"/>
      <c r="R114" s="38"/>
    </row>
    <row r="115" spans="1:18" x14ac:dyDescent="0.25">
      <c r="A115" s="7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38"/>
    </row>
    <row r="116" spans="1:18" ht="15.75" x14ac:dyDescent="0.25">
      <c r="A116" s="86" t="s">
        <v>98</v>
      </c>
      <c r="B116" s="26">
        <f>SUM(B117:B120)</f>
        <v>0</v>
      </c>
      <c r="C116" s="26">
        <f t="shared" ref="C116:M116" si="31">SUM(C117:C120)</f>
        <v>0</v>
      </c>
      <c r="D116" s="26">
        <f t="shared" si="31"/>
        <v>9033</v>
      </c>
      <c r="E116" s="26">
        <f t="shared" si="31"/>
        <v>8167</v>
      </c>
      <c r="F116" s="26">
        <f t="shared" si="31"/>
        <v>0</v>
      </c>
      <c r="G116" s="26">
        <f t="shared" si="31"/>
        <v>7831</v>
      </c>
      <c r="H116" s="26">
        <f t="shared" si="31"/>
        <v>6595</v>
      </c>
      <c r="I116" s="26">
        <f t="shared" si="31"/>
        <v>6896</v>
      </c>
      <c r="J116" s="26">
        <f t="shared" si="31"/>
        <v>6896</v>
      </c>
      <c r="K116" s="26">
        <f t="shared" si="31"/>
        <v>8637</v>
      </c>
      <c r="L116" s="26">
        <f t="shared" si="31"/>
        <v>6896</v>
      </c>
      <c r="M116" s="26">
        <f t="shared" si="31"/>
        <v>7591</v>
      </c>
      <c r="N116" s="7"/>
      <c r="O116" s="7"/>
      <c r="P116" s="7"/>
      <c r="Q116" s="7"/>
      <c r="R116" s="38"/>
    </row>
    <row r="117" spans="1:18" x14ac:dyDescent="0.25">
      <c r="A117" s="74" t="s">
        <v>94</v>
      </c>
      <c r="B117" s="14"/>
      <c r="C117" s="14"/>
      <c r="D117" s="14">
        <v>1974</v>
      </c>
      <c r="E117" s="14">
        <v>1460</v>
      </c>
      <c r="F117" s="14"/>
      <c r="G117" s="108">
        <v>1758</v>
      </c>
      <c r="H117" s="14">
        <v>1129</v>
      </c>
      <c r="I117" s="14">
        <v>945</v>
      </c>
      <c r="J117" s="14">
        <v>945</v>
      </c>
      <c r="K117" s="14">
        <v>1334</v>
      </c>
      <c r="L117" s="14">
        <v>945</v>
      </c>
      <c r="M117" s="14">
        <v>1188</v>
      </c>
      <c r="N117" s="7"/>
      <c r="O117" s="7"/>
      <c r="P117" s="7"/>
      <c r="Q117" s="7"/>
      <c r="R117" s="38"/>
    </row>
    <row r="118" spans="1:18" x14ac:dyDescent="0.25">
      <c r="A118" s="74" t="s">
        <v>95</v>
      </c>
      <c r="B118" s="14"/>
      <c r="C118" s="14"/>
      <c r="D118" s="14">
        <v>4427</v>
      </c>
      <c r="E118" s="14">
        <v>3653</v>
      </c>
      <c r="F118" s="14"/>
      <c r="G118" s="108">
        <v>3003</v>
      </c>
      <c r="H118" s="14">
        <v>2506</v>
      </c>
      <c r="I118" s="14">
        <v>2870</v>
      </c>
      <c r="J118" s="14">
        <v>2870</v>
      </c>
      <c r="K118" s="14">
        <v>4192</v>
      </c>
      <c r="L118" s="14">
        <v>2870</v>
      </c>
      <c r="M118" s="14">
        <v>3370</v>
      </c>
      <c r="N118" s="7"/>
      <c r="O118" s="7"/>
      <c r="P118" s="7"/>
      <c r="Q118" s="7"/>
      <c r="R118" s="38"/>
    </row>
    <row r="119" spans="1:18" x14ac:dyDescent="0.25">
      <c r="A119" s="74" t="s">
        <v>96</v>
      </c>
      <c r="B119" s="14"/>
      <c r="C119" s="14"/>
      <c r="D119" s="14">
        <v>1586</v>
      </c>
      <c r="E119" s="14">
        <v>1745</v>
      </c>
      <c r="F119" s="14"/>
      <c r="G119" s="108">
        <v>1705</v>
      </c>
      <c r="H119" s="14">
        <v>1472</v>
      </c>
      <c r="I119" s="14">
        <v>1621</v>
      </c>
      <c r="J119" s="14">
        <v>1621</v>
      </c>
      <c r="K119" s="14">
        <v>1710</v>
      </c>
      <c r="L119" s="14">
        <v>1621</v>
      </c>
      <c r="M119" s="14">
        <v>1663</v>
      </c>
      <c r="N119" s="7"/>
      <c r="O119" s="7"/>
      <c r="P119" s="7"/>
      <c r="Q119" s="7"/>
      <c r="R119" s="38"/>
    </row>
    <row r="120" spans="1:18" x14ac:dyDescent="0.25">
      <c r="A120" s="74" t="s">
        <v>97</v>
      </c>
      <c r="B120" s="14"/>
      <c r="C120" s="14"/>
      <c r="D120" s="14">
        <v>1046</v>
      </c>
      <c r="E120" s="14">
        <v>1309</v>
      </c>
      <c r="F120" s="14"/>
      <c r="G120" s="108">
        <v>1365</v>
      </c>
      <c r="H120" s="14">
        <v>1488</v>
      </c>
      <c r="I120" s="14">
        <v>1460</v>
      </c>
      <c r="J120" s="14">
        <v>1460</v>
      </c>
      <c r="K120" s="14">
        <v>1401</v>
      </c>
      <c r="L120" s="14">
        <v>1460</v>
      </c>
      <c r="M120" s="14">
        <v>1370</v>
      </c>
      <c r="N120" s="7"/>
      <c r="O120" s="7"/>
      <c r="P120" s="7"/>
      <c r="Q120" s="7"/>
      <c r="R120" s="38"/>
    </row>
    <row r="121" spans="1:18" x14ac:dyDescent="0.25">
      <c r="A121" s="81"/>
      <c r="B121" s="11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38"/>
    </row>
    <row r="122" spans="1:18" x14ac:dyDescent="0.25">
      <c r="A122" s="87" t="s">
        <v>102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7"/>
      <c r="O122" s="7"/>
      <c r="P122" s="7"/>
      <c r="Q122" s="7"/>
      <c r="R122" s="38"/>
    </row>
    <row r="123" spans="1:18" x14ac:dyDescent="0.25">
      <c r="A123" s="74" t="s">
        <v>99</v>
      </c>
      <c r="B123" s="14"/>
      <c r="C123" s="14"/>
      <c r="D123" s="14">
        <v>156.55000000000001</v>
      </c>
      <c r="E123" s="108">
        <v>157.69</v>
      </c>
      <c r="F123" s="108">
        <v>158.84</v>
      </c>
      <c r="G123" s="108">
        <v>159.99</v>
      </c>
      <c r="H123" s="14">
        <v>159.99</v>
      </c>
      <c r="I123" s="14">
        <v>160.69</v>
      </c>
      <c r="J123" s="14">
        <v>160.69</v>
      </c>
      <c r="K123" s="14">
        <v>164.67</v>
      </c>
      <c r="L123" s="14">
        <v>164.67</v>
      </c>
      <c r="M123" s="14">
        <v>173.55</v>
      </c>
      <c r="N123" s="7"/>
      <c r="O123" s="7"/>
      <c r="P123" s="7"/>
      <c r="Q123" s="7"/>
      <c r="R123" s="38"/>
    </row>
    <row r="124" spans="1:18" x14ac:dyDescent="0.25">
      <c r="A124" s="74" t="s">
        <v>100</v>
      </c>
      <c r="B124" s="14"/>
      <c r="C124" s="14"/>
      <c r="D124" s="14">
        <v>178.1</v>
      </c>
      <c r="E124" s="108">
        <v>179.39</v>
      </c>
      <c r="F124" s="108">
        <v>180.69</v>
      </c>
      <c r="G124" s="108">
        <v>181.99</v>
      </c>
      <c r="H124" s="14">
        <v>181.99</v>
      </c>
      <c r="I124" s="14">
        <v>182.79</v>
      </c>
      <c r="J124" s="14">
        <v>182.79</v>
      </c>
      <c r="K124" s="14">
        <v>187.33</v>
      </c>
      <c r="L124" s="14">
        <v>187.33</v>
      </c>
      <c r="M124" s="14">
        <v>199.78</v>
      </c>
      <c r="N124" s="7"/>
      <c r="O124" s="7"/>
      <c r="P124" s="7"/>
      <c r="Q124" s="7"/>
      <c r="R124" s="38"/>
    </row>
    <row r="125" spans="1:18" x14ac:dyDescent="0.25">
      <c r="A125" s="74" t="s">
        <v>101</v>
      </c>
      <c r="B125" s="14"/>
      <c r="C125" s="14"/>
      <c r="D125" s="14">
        <v>202.01</v>
      </c>
      <c r="E125" s="108">
        <v>203.47</v>
      </c>
      <c r="F125" s="108">
        <v>204.95</v>
      </c>
      <c r="G125" s="108">
        <v>206.43</v>
      </c>
      <c r="H125" s="14">
        <v>206.43</v>
      </c>
      <c r="I125" s="14">
        <v>207.34</v>
      </c>
      <c r="J125" s="14">
        <v>207.34</v>
      </c>
      <c r="K125" s="14">
        <v>212.48</v>
      </c>
      <c r="L125" s="14">
        <v>212.48</v>
      </c>
      <c r="M125" s="14">
        <v>228.53</v>
      </c>
      <c r="N125" s="7"/>
      <c r="O125" s="7"/>
      <c r="P125" s="7"/>
      <c r="Q125" s="7"/>
      <c r="R125" s="38"/>
    </row>
    <row r="126" spans="1:18" x14ac:dyDescent="0.25">
      <c r="A126" s="81"/>
      <c r="B126" s="11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38"/>
    </row>
    <row r="127" spans="1:18" ht="15.75" x14ac:dyDescent="0.25">
      <c r="A127" s="88" t="s">
        <v>40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41"/>
      <c r="O127" s="41"/>
      <c r="P127" s="41"/>
      <c r="Q127" s="41"/>
      <c r="R127" s="43"/>
    </row>
    <row r="128" spans="1:18" x14ac:dyDescent="0.25">
      <c r="A128" s="81" t="s">
        <v>40</v>
      </c>
      <c r="B128" s="57">
        <f>+B130/B129</f>
        <v>0.98007778738115814</v>
      </c>
      <c r="C128" s="57">
        <f t="shared" ref="C128:M128" si="32">+C130/C129</f>
        <v>0.98007778738115814</v>
      </c>
      <c r="D128" s="57">
        <f t="shared" si="32"/>
        <v>0.98007778738115814</v>
      </c>
      <c r="E128" s="57">
        <f t="shared" si="32"/>
        <v>0.98007778738115814</v>
      </c>
      <c r="F128" s="57">
        <f t="shared" si="32"/>
        <v>0.98007778738115814</v>
      </c>
      <c r="G128" s="57">
        <f t="shared" si="32"/>
        <v>0.98007778738115814</v>
      </c>
      <c r="H128" s="57">
        <f t="shared" si="32"/>
        <v>0.98007778738115814</v>
      </c>
      <c r="I128" s="57">
        <f t="shared" si="32"/>
        <v>0.98007778738115814</v>
      </c>
      <c r="J128" s="57">
        <f t="shared" si="32"/>
        <v>0.98007778738115814</v>
      </c>
      <c r="K128" s="57">
        <f t="shared" si="32"/>
        <v>0.98007778738115814</v>
      </c>
      <c r="L128" s="57">
        <f t="shared" si="32"/>
        <v>0.98007778738115814</v>
      </c>
      <c r="M128" s="57">
        <f t="shared" si="32"/>
        <v>0.98007778738115814</v>
      </c>
      <c r="N128" s="13"/>
      <c r="O128" s="13"/>
      <c r="P128" s="13"/>
      <c r="Q128" s="13"/>
      <c r="R128" s="13"/>
    </row>
    <row r="129" spans="1:18" x14ac:dyDescent="0.25">
      <c r="A129" s="81" t="s">
        <v>103</v>
      </c>
      <c r="B129" s="17">
        <v>23140</v>
      </c>
      <c r="C129" s="17">
        <v>23140</v>
      </c>
      <c r="D129" s="17">
        <v>23140</v>
      </c>
      <c r="E129" s="17">
        <v>23140</v>
      </c>
      <c r="F129" s="17">
        <v>23140</v>
      </c>
      <c r="G129" s="17">
        <v>23140</v>
      </c>
      <c r="H129" s="17">
        <v>23140</v>
      </c>
      <c r="I129" s="17">
        <v>23140</v>
      </c>
      <c r="J129" s="17">
        <v>23140</v>
      </c>
      <c r="K129" s="17">
        <v>23140</v>
      </c>
      <c r="L129" s="17">
        <v>23140</v>
      </c>
      <c r="M129" s="17">
        <v>23140</v>
      </c>
      <c r="N129" s="11"/>
      <c r="O129" s="11"/>
      <c r="P129" s="7"/>
      <c r="Q129" s="7"/>
      <c r="R129" s="38"/>
    </row>
    <row r="130" spans="1:18" x14ac:dyDescent="0.25">
      <c r="A130" s="81" t="s">
        <v>84</v>
      </c>
      <c r="B130" s="17">
        <v>22679</v>
      </c>
      <c r="C130" s="17">
        <v>22679</v>
      </c>
      <c r="D130" s="17">
        <v>22679</v>
      </c>
      <c r="E130" s="17">
        <v>22679</v>
      </c>
      <c r="F130" s="17">
        <v>22679</v>
      </c>
      <c r="G130" s="17">
        <v>22679</v>
      </c>
      <c r="H130" s="17">
        <v>22679</v>
      </c>
      <c r="I130" s="17">
        <v>22679</v>
      </c>
      <c r="J130" s="17">
        <v>22679</v>
      </c>
      <c r="K130" s="17">
        <v>22679</v>
      </c>
      <c r="L130" s="17">
        <v>22679</v>
      </c>
      <c r="M130" s="17">
        <v>22679</v>
      </c>
      <c r="N130" s="11"/>
      <c r="O130" s="11"/>
      <c r="P130" s="7"/>
      <c r="Q130" s="7"/>
      <c r="R130" s="38"/>
    </row>
    <row r="131" spans="1:18" x14ac:dyDescent="0.25">
      <c r="A131" s="81" t="s">
        <v>85</v>
      </c>
      <c r="B131" s="17">
        <v>21693</v>
      </c>
      <c r="C131" s="17">
        <v>21693</v>
      </c>
      <c r="D131" s="17">
        <v>21639</v>
      </c>
      <c r="E131" s="17">
        <v>21639</v>
      </c>
      <c r="F131" s="17">
        <v>21639</v>
      </c>
      <c r="G131" s="17">
        <v>21639</v>
      </c>
      <c r="H131" s="17">
        <v>21639</v>
      </c>
      <c r="I131" s="17">
        <v>21639</v>
      </c>
      <c r="J131" s="17">
        <v>21639</v>
      </c>
      <c r="K131" s="17">
        <v>21639</v>
      </c>
      <c r="L131" s="17">
        <v>21639</v>
      </c>
      <c r="M131" s="17">
        <v>21639</v>
      </c>
      <c r="N131" s="11"/>
      <c r="O131" s="11"/>
      <c r="P131" s="7"/>
      <c r="Q131" s="7"/>
      <c r="R131" s="38"/>
    </row>
    <row r="132" spans="1:18" x14ac:dyDescent="0.25">
      <c r="A132" s="81" t="s">
        <v>86</v>
      </c>
      <c r="B132" s="17">
        <v>6165</v>
      </c>
      <c r="C132" s="17">
        <v>5470</v>
      </c>
      <c r="D132" s="17">
        <v>5849</v>
      </c>
      <c r="E132" s="17">
        <v>5614</v>
      </c>
      <c r="F132" s="17">
        <v>5868</v>
      </c>
      <c r="G132" s="17">
        <v>5744</v>
      </c>
      <c r="H132" s="17">
        <v>5500</v>
      </c>
      <c r="I132" s="17">
        <v>5647</v>
      </c>
      <c r="J132" s="17">
        <v>5599</v>
      </c>
      <c r="K132" s="17">
        <v>6415</v>
      </c>
      <c r="L132" s="17">
        <v>6425</v>
      </c>
      <c r="M132" s="17">
        <v>5986</v>
      </c>
      <c r="N132" s="11"/>
      <c r="O132" s="11"/>
      <c r="P132" s="7"/>
      <c r="Q132" s="7"/>
      <c r="R132" s="38"/>
    </row>
    <row r="133" spans="1:18" x14ac:dyDescent="0.25">
      <c r="A133" s="81" t="s">
        <v>87</v>
      </c>
      <c r="B133" s="17">
        <v>1162</v>
      </c>
      <c r="C133" s="17">
        <v>1009</v>
      </c>
      <c r="D133" s="17">
        <v>1235</v>
      </c>
      <c r="E133" s="17">
        <v>1224</v>
      </c>
      <c r="F133" s="17">
        <v>1321</v>
      </c>
      <c r="G133" s="17">
        <v>1289</v>
      </c>
      <c r="H133" s="17">
        <f>1284+15</f>
        <v>1299</v>
      </c>
      <c r="I133" s="17">
        <v>1331</v>
      </c>
      <c r="J133" s="17">
        <v>1324</v>
      </c>
      <c r="K133" s="17">
        <v>1358</v>
      </c>
      <c r="L133" s="17">
        <v>1362</v>
      </c>
      <c r="M133" s="17">
        <v>1337</v>
      </c>
      <c r="N133" s="11"/>
      <c r="O133" s="11"/>
      <c r="P133" s="7"/>
      <c r="Q133" s="7"/>
      <c r="R133" s="38"/>
    </row>
    <row r="134" spans="1:18" x14ac:dyDescent="0.25">
      <c r="A134" s="81" t="s">
        <v>41</v>
      </c>
      <c r="B134" s="17">
        <v>8</v>
      </c>
      <c r="C134" s="17">
        <v>8</v>
      </c>
      <c r="D134" s="17">
        <v>8</v>
      </c>
      <c r="E134" s="17">
        <v>8</v>
      </c>
      <c r="F134" s="17">
        <v>8</v>
      </c>
      <c r="G134" s="17">
        <v>8</v>
      </c>
      <c r="H134" s="17">
        <v>8</v>
      </c>
      <c r="I134" s="17">
        <v>8</v>
      </c>
      <c r="J134" s="17">
        <v>8</v>
      </c>
      <c r="K134" s="17">
        <v>8</v>
      </c>
      <c r="L134" s="17">
        <v>8</v>
      </c>
      <c r="M134" s="17">
        <v>8</v>
      </c>
      <c r="N134" s="11"/>
      <c r="O134" s="11"/>
      <c r="P134" s="7"/>
      <c r="Q134" s="7"/>
      <c r="R134" s="38"/>
    </row>
    <row r="135" spans="1:18" x14ac:dyDescent="0.25">
      <c r="A135" s="81" t="s">
        <v>42</v>
      </c>
      <c r="B135" s="17">
        <v>12</v>
      </c>
      <c r="C135" s="17">
        <v>12</v>
      </c>
      <c r="D135" s="17">
        <v>12</v>
      </c>
      <c r="E135" s="17">
        <v>12</v>
      </c>
      <c r="F135" s="17">
        <v>12</v>
      </c>
      <c r="G135" s="17">
        <v>12</v>
      </c>
      <c r="H135" s="17">
        <v>12</v>
      </c>
      <c r="I135" s="17">
        <v>12</v>
      </c>
      <c r="J135" s="17">
        <v>12</v>
      </c>
      <c r="K135" s="17">
        <v>12</v>
      </c>
      <c r="L135" s="17">
        <v>12</v>
      </c>
      <c r="M135" s="17">
        <v>12</v>
      </c>
      <c r="N135" s="11"/>
      <c r="O135" s="11"/>
      <c r="P135" s="7"/>
      <c r="Q135" s="7"/>
      <c r="R135" s="38"/>
    </row>
    <row r="136" spans="1:18" x14ac:dyDescent="0.25">
      <c r="A136" s="81" t="s">
        <v>43</v>
      </c>
      <c r="B136" s="17">
        <v>18</v>
      </c>
      <c r="C136" s="17">
        <v>18</v>
      </c>
      <c r="D136" s="17">
        <v>18</v>
      </c>
      <c r="E136" s="17">
        <v>18</v>
      </c>
      <c r="F136" s="17">
        <v>18</v>
      </c>
      <c r="G136" s="17">
        <v>18</v>
      </c>
      <c r="H136" s="17">
        <v>18</v>
      </c>
      <c r="I136" s="17">
        <v>18</v>
      </c>
      <c r="J136" s="17">
        <v>18</v>
      </c>
      <c r="K136" s="17">
        <v>18</v>
      </c>
      <c r="L136" s="17">
        <v>18</v>
      </c>
      <c r="M136" s="17">
        <v>18</v>
      </c>
      <c r="N136" s="11"/>
      <c r="O136" s="11"/>
      <c r="P136" s="7"/>
      <c r="Q136" s="7"/>
      <c r="R136" s="38"/>
    </row>
    <row r="137" spans="1:18" x14ac:dyDescent="0.25">
      <c r="A137" s="81" t="s">
        <v>44</v>
      </c>
      <c r="B137" s="19"/>
      <c r="C137" s="19"/>
      <c r="D137" s="17"/>
      <c r="E137" s="17"/>
      <c r="F137" s="17"/>
      <c r="G137" s="17">
        <v>0</v>
      </c>
      <c r="H137" s="19">
        <v>0</v>
      </c>
      <c r="I137" s="14">
        <v>0</v>
      </c>
      <c r="J137" s="14"/>
      <c r="K137" s="14">
        <v>0</v>
      </c>
      <c r="L137" s="14"/>
      <c r="M137" s="14"/>
      <c r="N137" s="11"/>
      <c r="O137" s="11"/>
      <c r="P137" s="7"/>
      <c r="Q137" s="7"/>
      <c r="R137" s="38"/>
    </row>
    <row r="138" spans="1:18" x14ac:dyDescent="0.25">
      <c r="A138" s="81" t="s">
        <v>45</v>
      </c>
      <c r="B138" s="14">
        <v>118</v>
      </c>
      <c r="C138" s="14">
        <v>118</v>
      </c>
      <c r="D138" s="17">
        <v>118</v>
      </c>
      <c r="E138" s="17">
        <v>118</v>
      </c>
      <c r="F138" s="17">
        <v>118</v>
      </c>
      <c r="G138" s="17">
        <v>118</v>
      </c>
      <c r="H138" s="17">
        <v>118</v>
      </c>
      <c r="I138" s="14">
        <v>118</v>
      </c>
      <c r="J138" s="14">
        <v>118</v>
      </c>
      <c r="K138" s="14">
        <v>118</v>
      </c>
      <c r="L138" s="14">
        <v>118</v>
      </c>
      <c r="M138" s="14">
        <v>118</v>
      </c>
      <c r="N138" s="11"/>
      <c r="O138" s="11"/>
      <c r="P138" s="7"/>
      <c r="Q138" s="7"/>
      <c r="R138" s="38"/>
    </row>
    <row r="139" spans="1:18" x14ac:dyDescent="0.25">
      <c r="A139" s="81" t="s">
        <v>46</v>
      </c>
      <c r="B139" s="17">
        <v>10222</v>
      </c>
      <c r="C139" s="17">
        <v>10199</v>
      </c>
      <c r="D139" s="17">
        <v>10195</v>
      </c>
      <c r="E139" s="17">
        <v>10196</v>
      </c>
      <c r="F139" s="17">
        <v>10201</v>
      </c>
      <c r="G139" s="17">
        <v>10198</v>
      </c>
      <c r="H139" s="17">
        <v>10195</v>
      </c>
      <c r="I139" s="17">
        <v>10199</v>
      </c>
      <c r="J139" s="17">
        <v>10207</v>
      </c>
      <c r="K139" s="17">
        <v>10209</v>
      </c>
      <c r="L139" s="17">
        <v>10198</v>
      </c>
      <c r="M139" s="17">
        <v>10198</v>
      </c>
      <c r="N139" s="11"/>
      <c r="O139" s="11"/>
      <c r="P139" s="7"/>
      <c r="Q139" s="7"/>
      <c r="R139" s="38"/>
    </row>
    <row r="140" spans="1:18" x14ac:dyDescent="0.25">
      <c r="A140" s="81" t="s">
        <v>158</v>
      </c>
      <c r="B140" s="17"/>
      <c r="C140" s="17"/>
      <c r="D140" s="17"/>
      <c r="E140" s="17"/>
      <c r="F140" s="17"/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/>
      <c r="N140" s="11"/>
      <c r="O140" s="11"/>
      <c r="P140" s="7"/>
      <c r="Q140" s="7"/>
      <c r="R140" s="38"/>
    </row>
    <row r="141" spans="1:18" x14ac:dyDescent="0.25">
      <c r="A141" s="81" t="s">
        <v>159</v>
      </c>
      <c r="B141" s="17">
        <v>839</v>
      </c>
      <c r="C141" s="17">
        <v>329</v>
      </c>
      <c r="D141" s="17">
        <v>1701</v>
      </c>
      <c r="E141" s="17">
        <v>231</v>
      </c>
      <c r="F141" s="107">
        <v>220</v>
      </c>
      <c r="G141" s="107">
        <v>69</v>
      </c>
      <c r="H141" s="17">
        <v>24</v>
      </c>
      <c r="I141" s="17">
        <v>54</v>
      </c>
      <c r="J141" s="17">
        <v>0</v>
      </c>
      <c r="K141" s="17">
        <v>0</v>
      </c>
      <c r="L141" s="17">
        <v>54</v>
      </c>
      <c r="M141" s="17">
        <v>43</v>
      </c>
      <c r="N141" s="11"/>
      <c r="O141" s="11"/>
      <c r="P141" s="7"/>
      <c r="Q141" s="7"/>
      <c r="R141" s="38"/>
    </row>
    <row r="142" spans="1:18" x14ac:dyDescent="0.25">
      <c r="A142" s="81" t="s">
        <v>162</v>
      </c>
      <c r="B142" s="17">
        <v>0</v>
      </c>
      <c r="C142" s="17">
        <v>0</v>
      </c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1"/>
      <c r="O142" s="11"/>
      <c r="P142" s="7"/>
      <c r="Q142" s="7"/>
      <c r="R142" s="38"/>
    </row>
    <row r="143" spans="1:18" x14ac:dyDescent="0.25">
      <c r="A143" s="81" t="s">
        <v>47</v>
      </c>
      <c r="B143" s="17">
        <v>9</v>
      </c>
      <c r="C143" s="17">
        <v>9</v>
      </c>
      <c r="D143" s="17">
        <v>9</v>
      </c>
      <c r="E143" s="17">
        <v>9</v>
      </c>
      <c r="F143" s="17">
        <v>9</v>
      </c>
      <c r="G143" s="17">
        <v>9</v>
      </c>
      <c r="H143" s="17">
        <v>9</v>
      </c>
      <c r="I143" s="17">
        <v>9</v>
      </c>
      <c r="J143" s="17">
        <v>9</v>
      </c>
      <c r="K143" s="17">
        <v>9</v>
      </c>
      <c r="L143" s="17">
        <v>9</v>
      </c>
      <c r="M143" s="17">
        <v>9</v>
      </c>
      <c r="N143" s="11"/>
      <c r="O143" s="11"/>
      <c r="P143" s="7"/>
      <c r="Q143" s="7"/>
      <c r="R143" s="38"/>
    </row>
    <row r="144" spans="1:18" x14ac:dyDescent="0.25">
      <c r="A144" s="81" t="s">
        <v>160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1"/>
      <c r="O144" s="11"/>
      <c r="P144" s="7"/>
      <c r="Q144" s="7"/>
      <c r="R144" s="38"/>
    </row>
    <row r="145" spans="1:18" x14ac:dyDescent="0.25">
      <c r="A145" s="81" t="s">
        <v>161</v>
      </c>
      <c r="B145" s="17">
        <v>0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1"/>
      <c r="O145" s="11"/>
      <c r="P145" s="7"/>
      <c r="Q145" s="7"/>
      <c r="R145" s="38"/>
    </row>
    <row r="146" spans="1:18" x14ac:dyDescent="0.25">
      <c r="A146" s="81" t="s">
        <v>48</v>
      </c>
      <c r="B146" s="8">
        <f>SUM(B147:B151)</f>
        <v>9</v>
      </c>
      <c r="C146" s="8">
        <f t="shared" ref="C146:M146" si="33">SUM(C147:C151)</f>
        <v>9</v>
      </c>
      <c r="D146" s="8">
        <f t="shared" si="33"/>
        <v>9</v>
      </c>
      <c r="E146" s="8">
        <f t="shared" si="33"/>
        <v>9</v>
      </c>
      <c r="F146" s="8">
        <f t="shared" si="33"/>
        <v>9</v>
      </c>
      <c r="G146" s="8">
        <f t="shared" si="33"/>
        <v>9</v>
      </c>
      <c r="H146" s="8">
        <f t="shared" si="33"/>
        <v>9</v>
      </c>
      <c r="I146" s="8">
        <f t="shared" si="33"/>
        <v>9</v>
      </c>
      <c r="J146" s="8">
        <f t="shared" si="33"/>
        <v>9</v>
      </c>
      <c r="K146" s="8">
        <f t="shared" si="33"/>
        <v>9</v>
      </c>
      <c r="L146" s="8">
        <f t="shared" si="33"/>
        <v>9</v>
      </c>
      <c r="M146" s="8">
        <f t="shared" si="33"/>
        <v>9</v>
      </c>
      <c r="N146" s="11"/>
      <c r="O146" s="11"/>
      <c r="P146" s="7"/>
      <c r="Q146" s="7"/>
      <c r="R146" s="38"/>
    </row>
    <row r="147" spans="1:18" x14ac:dyDescent="0.25">
      <c r="A147" s="81" t="s">
        <v>49</v>
      </c>
      <c r="B147" s="17">
        <v>9</v>
      </c>
      <c r="C147" s="17">
        <v>9</v>
      </c>
      <c r="D147" s="17">
        <v>9</v>
      </c>
      <c r="E147" s="17">
        <v>9</v>
      </c>
      <c r="F147" s="17">
        <v>9</v>
      </c>
      <c r="G147" s="17">
        <v>9</v>
      </c>
      <c r="H147" s="17">
        <v>9</v>
      </c>
      <c r="I147" s="17">
        <v>9</v>
      </c>
      <c r="J147" s="17">
        <v>9</v>
      </c>
      <c r="K147" s="17">
        <v>9</v>
      </c>
      <c r="L147" s="17">
        <v>9</v>
      </c>
      <c r="M147" s="17">
        <v>9</v>
      </c>
      <c r="N147" s="11"/>
      <c r="O147" s="11"/>
      <c r="P147" s="7"/>
      <c r="Q147" s="7"/>
      <c r="R147" s="38"/>
    </row>
    <row r="148" spans="1:18" x14ac:dyDescent="0.25">
      <c r="A148" s="81" t="s">
        <v>50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1"/>
      <c r="O148" s="11"/>
      <c r="P148" s="7"/>
      <c r="Q148" s="7"/>
      <c r="R148" s="38"/>
    </row>
    <row r="149" spans="1:18" x14ac:dyDescent="0.25">
      <c r="A149" s="81" t="s">
        <v>51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1"/>
      <c r="O149" s="11"/>
      <c r="P149" s="7"/>
      <c r="Q149" s="7"/>
      <c r="R149" s="38"/>
    </row>
    <row r="150" spans="1:18" x14ac:dyDescent="0.25">
      <c r="A150" s="81" t="s">
        <v>52</v>
      </c>
      <c r="B150" s="18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1"/>
      <c r="O150" s="11"/>
      <c r="P150" s="7"/>
      <c r="Q150" s="7"/>
      <c r="R150" s="38"/>
    </row>
    <row r="151" spans="1:18" x14ac:dyDescent="0.25">
      <c r="A151" s="81" t="s">
        <v>53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1"/>
      <c r="O151" s="11"/>
      <c r="P151" s="7"/>
      <c r="Q151" s="7"/>
      <c r="R151" s="38"/>
    </row>
    <row r="152" spans="1:18" x14ac:dyDescent="0.25">
      <c r="A152" s="81" t="s">
        <v>54</v>
      </c>
      <c r="B152" s="58">
        <f t="shared" ref="B152:M152" si="34">+B171/B138</f>
        <v>0.38983050847457629</v>
      </c>
      <c r="C152" s="58">
        <f t="shared" si="34"/>
        <v>0.28813559322033899</v>
      </c>
      <c r="D152" s="58">
        <f t="shared" si="34"/>
        <v>0.48305084745762711</v>
      </c>
      <c r="E152" s="58">
        <f t="shared" si="34"/>
        <v>0.36440677966101692</v>
      </c>
      <c r="F152" s="58">
        <f t="shared" si="34"/>
        <v>0.44067796610169491</v>
      </c>
      <c r="G152" s="58">
        <f t="shared" si="34"/>
        <v>0.38983050847457629</v>
      </c>
      <c r="H152" s="58">
        <f t="shared" si="34"/>
        <v>0.55084745762711862</v>
      </c>
      <c r="I152" s="58">
        <f t="shared" si="34"/>
        <v>0.55932203389830504</v>
      </c>
      <c r="J152" s="58">
        <f t="shared" si="34"/>
        <v>0.56779661016949157</v>
      </c>
      <c r="K152" s="58">
        <f t="shared" si="34"/>
        <v>0.6271186440677966</v>
      </c>
      <c r="L152" s="58">
        <f t="shared" si="34"/>
        <v>0.26271186440677968</v>
      </c>
      <c r="M152" s="58">
        <f t="shared" si="34"/>
        <v>0.33050847457627119</v>
      </c>
      <c r="N152" s="11"/>
      <c r="O152" s="11"/>
      <c r="P152" s="7"/>
      <c r="Q152" s="7"/>
      <c r="R152" s="38"/>
    </row>
    <row r="153" spans="1:18" x14ac:dyDescent="0.25">
      <c r="A153" s="81"/>
      <c r="B153" s="11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38"/>
    </row>
    <row r="154" spans="1:18" x14ac:dyDescent="0.25">
      <c r="A154" s="83" t="s">
        <v>55</v>
      </c>
      <c r="B154" s="11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38"/>
    </row>
    <row r="155" spans="1:18" ht="15.75" x14ac:dyDescent="0.25">
      <c r="A155" s="75" t="s">
        <v>105</v>
      </c>
      <c r="B155" s="9">
        <f>+B156+B159+B162+B165</f>
        <v>45</v>
      </c>
      <c r="C155" s="9">
        <f t="shared" ref="C155:M155" si="35">+C156+C159+C162+C165</f>
        <v>45</v>
      </c>
      <c r="D155" s="9">
        <f t="shared" si="35"/>
        <v>45</v>
      </c>
      <c r="E155" s="9">
        <f t="shared" si="35"/>
        <v>45</v>
      </c>
      <c r="F155" s="9">
        <f t="shared" si="35"/>
        <v>45</v>
      </c>
      <c r="G155" s="9">
        <f t="shared" si="35"/>
        <v>45</v>
      </c>
      <c r="H155" s="9">
        <f t="shared" si="35"/>
        <v>45</v>
      </c>
      <c r="I155" s="9">
        <f t="shared" si="35"/>
        <v>45</v>
      </c>
      <c r="J155" s="9">
        <f t="shared" si="35"/>
        <v>45</v>
      </c>
      <c r="K155" s="9">
        <f t="shared" si="35"/>
        <v>45</v>
      </c>
      <c r="L155" s="9">
        <f t="shared" si="35"/>
        <v>45</v>
      </c>
      <c r="M155" s="9">
        <f t="shared" si="35"/>
        <v>45</v>
      </c>
      <c r="N155" s="47"/>
      <c r="O155" s="47"/>
      <c r="P155" s="41"/>
      <c r="Q155" s="41"/>
      <c r="R155" s="43"/>
    </row>
    <row r="156" spans="1:18" x14ac:dyDescent="0.25">
      <c r="A156" s="73" t="s">
        <v>80</v>
      </c>
      <c r="B156" s="8">
        <f>B157+B158</f>
        <v>10</v>
      </c>
      <c r="C156" s="8">
        <f t="shared" ref="C156:M156" si="36">C157+C158</f>
        <v>10</v>
      </c>
      <c r="D156" s="8">
        <f t="shared" si="36"/>
        <v>10</v>
      </c>
      <c r="E156" s="8">
        <f t="shared" si="36"/>
        <v>10</v>
      </c>
      <c r="F156" s="8">
        <f t="shared" si="36"/>
        <v>10</v>
      </c>
      <c r="G156" s="8">
        <f t="shared" si="36"/>
        <v>10</v>
      </c>
      <c r="H156" s="8">
        <f t="shared" si="36"/>
        <v>10</v>
      </c>
      <c r="I156" s="8">
        <f t="shared" si="36"/>
        <v>9</v>
      </c>
      <c r="J156" s="8">
        <f t="shared" si="36"/>
        <v>9</v>
      </c>
      <c r="K156" s="8">
        <f t="shared" si="36"/>
        <v>9</v>
      </c>
      <c r="L156" s="8">
        <f t="shared" si="36"/>
        <v>9</v>
      </c>
      <c r="M156" s="8">
        <f t="shared" si="36"/>
        <v>9</v>
      </c>
      <c r="N156" s="11"/>
      <c r="O156" s="11"/>
      <c r="P156" s="7"/>
      <c r="Q156" s="7"/>
      <c r="R156" s="38"/>
    </row>
    <row r="157" spans="1:18" x14ac:dyDescent="0.25">
      <c r="A157" s="73" t="s">
        <v>81</v>
      </c>
      <c r="B157" s="17">
        <v>10</v>
      </c>
      <c r="C157" s="17">
        <v>10</v>
      </c>
      <c r="D157" s="17">
        <v>10</v>
      </c>
      <c r="E157" s="17">
        <v>10</v>
      </c>
      <c r="F157" s="17">
        <v>10</v>
      </c>
      <c r="G157" s="20">
        <v>10</v>
      </c>
      <c r="H157" s="17">
        <v>10</v>
      </c>
      <c r="I157" s="17">
        <v>9</v>
      </c>
      <c r="J157" s="17">
        <v>9</v>
      </c>
      <c r="K157" s="17">
        <v>9</v>
      </c>
      <c r="L157" s="17">
        <v>9</v>
      </c>
      <c r="M157" s="17">
        <v>9</v>
      </c>
      <c r="N157" s="11"/>
      <c r="O157" s="11"/>
      <c r="P157" s="7"/>
      <c r="Q157" s="7"/>
      <c r="R157" s="38"/>
    </row>
    <row r="158" spans="1:18" x14ac:dyDescent="0.25">
      <c r="A158" s="73" t="s">
        <v>82</v>
      </c>
      <c r="B158" s="17"/>
      <c r="C158" s="17"/>
      <c r="D158" s="17"/>
      <c r="E158" s="17"/>
      <c r="F158" s="17"/>
      <c r="G158" s="20"/>
      <c r="H158" s="17"/>
      <c r="I158" s="17"/>
      <c r="J158" s="17"/>
      <c r="K158" s="17"/>
      <c r="L158" s="17"/>
      <c r="M158" s="17"/>
      <c r="N158" s="11"/>
      <c r="O158" s="11"/>
      <c r="P158" s="7"/>
      <c r="Q158" s="7"/>
      <c r="R158" s="38"/>
    </row>
    <row r="159" spans="1:18" x14ac:dyDescent="0.25">
      <c r="A159" s="73" t="s">
        <v>56</v>
      </c>
      <c r="B159" s="8">
        <f>B160+B161</f>
        <v>9</v>
      </c>
      <c r="C159" s="8">
        <f t="shared" ref="C159:M159" si="37">C160+C161</f>
        <v>9</v>
      </c>
      <c r="D159" s="8">
        <f t="shared" si="37"/>
        <v>9</v>
      </c>
      <c r="E159" s="8">
        <f t="shared" si="37"/>
        <v>9</v>
      </c>
      <c r="F159" s="8">
        <f t="shared" si="37"/>
        <v>9</v>
      </c>
      <c r="G159" s="8">
        <f t="shared" si="37"/>
        <v>9</v>
      </c>
      <c r="H159" s="8">
        <f t="shared" si="37"/>
        <v>9</v>
      </c>
      <c r="I159" s="8">
        <f t="shared" si="37"/>
        <v>9</v>
      </c>
      <c r="J159" s="8">
        <f t="shared" si="37"/>
        <v>9</v>
      </c>
      <c r="K159" s="8">
        <f t="shared" si="37"/>
        <v>9</v>
      </c>
      <c r="L159" s="8">
        <f t="shared" si="37"/>
        <v>9</v>
      </c>
      <c r="M159" s="8">
        <f t="shared" si="37"/>
        <v>9</v>
      </c>
      <c r="N159" s="11"/>
      <c r="O159" s="11"/>
      <c r="P159" s="7"/>
      <c r="Q159" s="7"/>
      <c r="R159" s="38"/>
    </row>
    <row r="160" spans="1:18" x14ac:dyDescent="0.25">
      <c r="A160" s="73" t="s">
        <v>81</v>
      </c>
      <c r="B160" s="17">
        <v>9</v>
      </c>
      <c r="C160" s="17">
        <v>9</v>
      </c>
      <c r="D160" s="17">
        <v>9</v>
      </c>
      <c r="E160" s="17">
        <v>9</v>
      </c>
      <c r="F160" s="17">
        <v>9</v>
      </c>
      <c r="G160" s="17">
        <v>9</v>
      </c>
      <c r="H160" s="17">
        <v>9</v>
      </c>
      <c r="I160" s="17">
        <v>9</v>
      </c>
      <c r="J160" s="17">
        <v>9</v>
      </c>
      <c r="K160" s="17">
        <v>9</v>
      </c>
      <c r="L160" s="17">
        <v>9</v>
      </c>
      <c r="M160" s="17">
        <v>9</v>
      </c>
      <c r="N160" s="11"/>
      <c r="O160" s="11"/>
      <c r="P160" s="7"/>
      <c r="Q160" s="7"/>
      <c r="R160" s="38"/>
    </row>
    <row r="161" spans="1:18" x14ac:dyDescent="0.25">
      <c r="A161" s="73" t="s">
        <v>82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1"/>
      <c r="O161" s="11"/>
      <c r="P161" s="7"/>
      <c r="Q161" s="7"/>
      <c r="R161" s="38"/>
    </row>
    <row r="162" spans="1:18" x14ac:dyDescent="0.25">
      <c r="A162" s="73" t="s">
        <v>57</v>
      </c>
      <c r="B162" s="8">
        <f>B163+B164</f>
        <v>22</v>
      </c>
      <c r="C162" s="8">
        <f t="shared" ref="C162:M162" si="38">C163+C164</f>
        <v>22</v>
      </c>
      <c r="D162" s="8">
        <f t="shared" si="38"/>
        <v>22</v>
      </c>
      <c r="E162" s="8">
        <f t="shared" si="38"/>
        <v>22</v>
      </c>
      <c r="F162" s="8">
        <f t="shared" si="38"/>
        <v>22</v>
      </c>
      <c r="G162" s="8">
        <f t="shared" si="38"/>
        <v>22</v>
      </c>
      <c r="H162" s="8">
        <f t="shared" si="38"/>
        <v>22</v>
      </c>
      <c r="I162" s="8">
        <f t="shared" si="38"/>
        <v>23</v>
      </c>
      <c r="J162" s="8">
        <f t="shared" si="38"/>
        <v>23</v>
      </c>
      <c r="K162" s="8">
        <f t="shared" si="38"/>
        <v>23</v>
      </c>
      <c r="L162" s="8">
        <f t="shared" si="38"/>
        <v>23</v>
      </c>
      <c r="M162" s="8">
        <f t="shared" si="38"/>
        <v>23</v>
      </c>
      <c r="N162" s="11"/>
      <c r="O162" s="11"/>
      <c r="P162" s="7"/>
      <c r="Q162" s="7"/>
      <c r="R162" s="38"/>
    </row>
    <row r="163" spans="1:18" x14ac:dyDescent="0.25">
      <c r="A163" s="73" t="s">
        <v>81</v>
      </c>
      <c r="B163" s="17">
        <v>22</v>
      </c>
      <c r="C163" s="17">
        <v>22</v>
      </c>
      <c r="D163" s="17">
        <v>22</v>
      </c>
      <c r="E163" s="17">
        <v>22</v>
      </c>
      <c r="F163" s="17">
        <v>22</v>
      </c>
      <c r="G163" s="17">
        <v>22</v>
      </c>
      <c r="H163" s="17">
        <v>22</v>
      </c>
      <c r="I163" s="17">
        <v>23</v>
      </c>
      <c r="J163" s="17">
        <v>23</v>
      </c>
      <c r="K163" s="17">
        <v>23</v>
      </c>
      <c r="L163" s="17">
        <v>23</v>
      </c>
      <c r="M163" s="17">
        <v>23</v>
      </c>
      <c r="N163" s="11"/>
      <c r="O163" s="11"/>
      <c r="P163" s="7"/>
      <c r="Q163" s="7"/>
      <c r="R163" s="38"/>
    </row>
    <row r="164" spans="1:18" x14ac:dyDescent="0.25">
      <c r="A164" s="73" t="s">
        <v>82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1"/>
      <c r="O164" s="11"/>
      <c r="P164" s="7"/>
      <c r="Q164" s="7"/>
      <c r="R164" s="38"/>
    </row>
    <row r="165" spans="1:18" x14ac:dyDescent="0.25">
      <c r="A165" s="73" t="s">
        <v>104</v>
      </c>
      <c r="B165" s="17">
        <v>4</v>
      </c>
      <c r="C165" s="17">
        <v>4</v>
      </c>
      <c r="D165" s="17">
        <v>4</v>
      </c>
      <c r="E165" s="17">
        <v>4</v>
      </c>
      <c r="F165" s="17">
        <v>4</v>
      </c>
      <c r="G165" s="17">
        <v>4</v>
      </c>
      <c r="H165" s="17">
        <v>4</v>
      </c>
      <c r="I165" s="17">
        <v>4</v>
      </c>
      <c r="J165" s="17">
        <v>4</v>
      </c>
      <c r="K165" s="17">
        <v>4</v>
      </c>
      <c r="L165" s="17">
        <v>4</v>
      </c>
      <c r="M165" s="17">
        <v>4</v>
      </c>
      <c r="N165" s="11"/>
      <c r="O165" s="11"/>
      <c r="P165" s="7"/>
      <c r="Q165" s="7"/>
      <c r="R165" s="38"/>
    </row>
    <row r="166" spans="1:18" x14ac:dyDescent="0.25">
      <c r="A166" s="74" t="s">
        <v>58</v>
      </c>
      <c r="B166" s="8">
        <f>B167+B168</f>
        <v>1</v>
      </c>
      <c r="C166" s="8">
        <f t="shared" ref="C166:M166" si="39">C167+C168</f>
        <v>1</v>
      </c>
      <c r="D166" s="8">
        <f t="shared" si="39"/>
        <v>1</v>
      </c>
      <c r="E166" s="8">
        <f t="shared" si="39"/>
        <v>1</v>
      </c>
      <c r="F166" s="8">
        <f t="shared" si="39"/>
        <v>1</v>
      </c>
      <c r="G166" s="8">
        <f t="shared" si="39"/>
        <v>1</v>
      </c>
      <c r="H166" s="8">
        <f t="shared" si="39"/>
        <v>1</v>
      </c>
      <c r="I166" s="8">
        <f t="shared" si="39"/>
        <v>1</v>
      </c>
      <c r="J166" s="8">
        <f t="shared" si="39"/>
        <v>2</v>
      </c>
      <c r="K166" s="8">
        <f t="shared" si="39"/>
        <v>2</v>
      </c>
      <c r="L166" s="8">
        <f t="shared" si="39"/>
        <v>2</v>
      </c>
      <c r="M166" s="8">
        <f t="shared" si="39"/>
        <v>2</v>
      </c>
      <c r="N166" s="11"/>
      <c r="O166" s="11"/>
      <c r="P166" s="7"/>
      <c r="Q166" s="7"/>
      <c r="R166" s="38"/>
    </row>
    <row r="167" spans="1:18" x14ac:dyDescent="0.25">
      <c r="A167" s="73" t="s">
        <v>81</v>
      </c>
      <c r="B167" s="17">
        <v>1</v>
      </c>
      <c r="C167" s="17">
        <v>1</v>
      </c>
      <c r="D167" s="17">
        <v>1</v>
      </c>
      <c r="E167" s="17">
        <v>1</v>
      </c>
      <c r="F167" s="17">
        <v>1</v>
      </c>
      <c r="G167" s="17">
        <v>1</v>
      </c>
      <c r="H167" s="17">
        <v>1</v>
      </c>
      <c r="I167" s="17">
        <v>1</v>
      </c>
      <c r="J167" s="17">
        <v>2</v>
      </c>
      <c r="K167" s="17">
        <v>2</v>
      </c>
      <c r="L167" s="17">
        <v>2</v>
      </c>
      <c r="M167" s="17">
        <v>2</v>
      </c>
      <c r="N167" s="11"/>
      <c r="O167" s="11"/>
      <c r="P167" s="7"/>
      <c r="Q167" s="7"/>
      <c r="R167" s="38"/>
    </row>
    <row r="168" spans="1:18" x14ac:dyDescent="0.25">
      <c r="A168" s="73" t="s">
        <v>82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1"/>
      <c r="O168" s="11"/>
      <c r="P168" s="7"/>
      <c r="Q168" s="7"/>
      <c r="R168" s="38"/>
    </row>
    <row r="169" spans="1:18" x14ac:dyDescent="0.25">
      <c r="A169" s="81"/>
      <c r="B169" s="18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1"/>
      <c r="O169" s="11"/>
      <c r="P169" s="7"/>
      <c r="Q169" s="7"/>
      <c r="R169" s="38"/>
    </row>
    <row r="170" spans="1:18" x14ac:dyDescent="0.25">
      <c r="A170" s="81" t="s">
        <v>59</v>
      </c>
      <c r="B170" s="17">
        <v>3</v>
      </c>
      <c r="C170" s="17">
        <v>3</v>
      </c>
      <c r="D170" s="17">
        <v>3</v>
      </c>
      <c r="E170" s="17">
        <v>3</v>
      </c>
      <c r="F170" s="17">
        <v>3</v>
      </c>
      <c r="G170" s="17">
        <v>3</v>
      </c>
      <c r="H170" s="17">
        <v>3</v>
      </c>
      <c r="I170" s="17">
        <v>3</v>
      </c>
      <c r="J170" s="17">
        <v>3</v>
      </c>
      <c r="K170" s="17">
        <v>3</v>
      </c>
      <c r="L170" s="17">
        <v>3</v>
      </c>
      <c r="M170" s="17">
        <v>3</v>
      </c>
      <c r="N170" s="11"/>
      <c r="O170" s="11"/>
      <c r="P170" s="7"/>
      <c r="Q170" s="7"/>
      <c r="R170" s="38"/>
    </row>
    <row r="171" spans="1:18" x14ac:dyDescent="0.25">
      <c r="A171" s="81" t="s">
        <v>60</v>
      </c>
      <c r="B171" s="17">
        <v>46</v>
      </c>
      <c r="C171" s="17">
        <v>34</v>
      </c>
      <c r="D171" s="17">
        <v>57</v>
      </c>
      <c r="E171" s="17">
        <v>43</v>
      </c>
      <c r="F171" s="106">
        <v>52</v>
      </c>
      <c r="G171" s="106">
        <v>46</v>
      </c>
      <c r="H171" s="17">
        <v>65</v>
      </c>
      <c r="I171" s="17">
        <v>66</v>
      </c>
      <c r="J171" s="17">
        <v>67</v>
      </c>
      <c r="K171" s="17">
        <v>74</v>
      </c>
      <c r="L171" s="17">
        <v>31</v>
      </c>
      <c r="M171" s="17">
        <v>39</v>
      </c>
      <c r="N171" s="11"/>
      <c r="O171" s="11"/>
      <c r="P171" s="7"/>
      <c r="Q171" s="7"/>
      <c r="R171" s="38"/>
    </row>
    <row r="172" spans="1:18" x14ac:dyDescent="0.25">
      <c r="A172" s="81" t="s">
        <v>61</v>
      </c>
      <c r="B172" s="17">
        <v>46</v>
      </c>
      <c r="C172" s="17">
        <v>34</v>
      </c>
      <c r="D172" s="17">
        <v>57</v>
      </c>
      <c r="E172" s="17">
        <v>43</v>
      </c>
      <c r="F172" s="106">
        <v>52</v>
      </c>
      <c r="G172" s="106">
        <v>46</v>
      </c>
      <c r="H172" s="17">
        <v>65</v>
      </c>
      <c r="I172" s="17">
        <v>66</v>
      </c>
      <c r="J172" s="17">
        <v>67</v>
      </c>
      <c r="K172" s="17">
        <v>74</v>
      </c>
      <c r="L172" s="17">
        <v>31</v>
      </c>
      <c r="M172" s="17">
        <v>39</v>
      </c>
      <c r="N172" s="11"/>
      <c r="O172" s="11"/>
      <c r="P172" s="7"/>
      <c r="Q172" s="7"/>
      <c r="R172" s="38"/>
    </row>
    <row r="173" spans="1:18" x14ac:dyDescent="0.25">
      <c r="A173" s="81" t="s">
        <v>62</v>
      </c>
      <c r="B173" s="17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/>
      <c r="J173" s="17">
        <v>0</v>
      </c>
      <c r="K173" s="17">
        <v>0</v>
      </c>
      <c r="L173" s="17"/>
      <c r="M173" s="17"/>
      <c r="N173" s="11"/>
      <c r="O173" s="11"/>
      <c r="P173" s="7"/>
      <c r="Q173" s="7"/>
      <c r="R173" s="38"/>
    </row>
    <row r="174" spans="1:18" x14ac:dyDescent="0.25">
      <c r="A174" s="81" t="s">
        <v>63</v>
      </c>
      <c r="B174" s="17">
        <v>164</v>
      </c>
      <c r="C174" s="17">
        <v>261</v>
      </c>
      <c r="D174" s="17">
        <v>158</v>
      </c>
      <c r="E174" s="17">
        <v>238</v>
      </c>
      <c r="F174" s="107">
        <v>220</v>
      </c>
      <c r="G174" s="107">
        <v>104</v>
      </c>
      <c r="H174" s="17">
        <v>268</v>
      </c>
      <c r="I174" s="17">
        <v>387</v>
      </c>
      <c r="J174" s="17">
        <v>334</v>
      </c>
      <c r="K174" s="17">
        <v>173</v>
      </c>
      <c r="L174" s="17">
        <v>176</v>
      </c>
      <c r="M174" s="17">
        <v>153</v>
      </c>
      <c r="N174" s="11"/>
      <c r="O174" s="11"/>
      <c r="P174" s="7"/>
      <c r="Q174" s="7"/>
      <c r="R174" s="38"/>
    </row>
    <row r="175" spans="1:18" x14ac:dyDescent="0.25">
      <c r="A175" s="81" t="s">
        <v>64</v>
      </c>
      <c r="B175" s="17">
        <v>164</v>
      </c>
      <c r="C175" s="17">
        <v>261</v>
      </c>
      <c r="D175" s="17">
        <v>158</v>
      </c>
      <c r="E175" s="17">
        <v>238</v>
      </c>
      <c r="F175" s="107">
        <v>220</v>
      </c>
      <c r="G175" s="107">
        <v>104</v>
      </c>
      <c r="H175" s="17">
        <v>268</v>
      </c>
      <c r="I175" s="17">
        <v>387</v>
      </c>
      <c r="J175" s="17">
        <v>334</v>
      </c>
      <c r="K175" s="17">
        <v>173</v>
      </c>
      <c r="L175" s="17">
        <v>176</v>
      </c>
      <c r="M175" s="17">
        <v>153</v>
      </c>
      <c r="N175" s="11"/>
      <c r="O175" s="11"/>
      <c r="P175" s="7"/>
      <c r="Q175" s="7"/>
      <c r="R175" s="38"/>
    </row>
    <row r="176" spans="1:18" x14ac:dyDescent="0.25">
      <c r="A176" s="81" t="s">
        <v>65</v>
      </c>
      <c r="B176" s="17">
        <v>10222</v>
      </c>
      <c r="C176" s="17">
        <v>10199</v>
      </c>
      <c r="D176" s="17">
        <v>10195</v>
      </c>
      <c r="E176" s="17">
        <v>10196</v>
      </c>
      <c r="F176" s="17">
        <v>10201</v>
      </c>
      <c r="G176" s="17">
        <v>10198</v>
      </c>
      <c r="H176" s="17">
        <v>10195</v>
      </c>
      <c r="I176" s="17">
        <v>10199</v>
      </c>
      <c r="J176" s="17">
        <v>10207</v>
      </c>
      <c r="K176" s="17">
        <v>10209</v>
      </c>
      <c r="L176" s="17">
        <v>10198</v>
      </c>
      <c r="M176" s="17">
        <v>10189</v>
      </c>
      <c r="N176" s="11"/>
      <c r="O176" s="11"/>
      <c r="P176" s="7"/>
      <c r="Q176" s="7"/>
      <c r="R176" s="38"/>
    </row>
    <row r="177" spans="1:18" x14ac:dyDescent="0.25">
      <c r="A177" s="89" t="s">
        <v>66</v>
      </c>
      <c r="B177" s="21"/>
      <c r="C177" s="21"/>
      <c r="D177" s="21"/>
      <c r="E177" s="21"/>
      <c r="F177" s="21"/>
      <c r="G177" s="21">
        <v>0</v>
      </c>
      <c r="H177" s="21">
        <v>0</v>
      </c>
      <c r="I177" s="21">
        <v>0</v>
      </c>
      <c r="J177" s="21"/>
      <c r="K177" s="21"/>
      <c r="L177" s="21"/>
      <c r="M177" s="21"/>
      <c r="N177" s="12"/>
      <c r="O177" s="12"/>
      <c r="P177" s="54"/>
      <c r="Q177" s="54"/>
      <c r="R177" s="55"/>
    </row>
    <row r="179" spans="1:18" x14ac:dyDescent="0.25">
      <c r="A179" s="32" t="s">
        <v>178</v>
      </c>
    </row>
    <row r="180" spans="1:18" x14ac:dyDescent="0.25">
      <c r="A180" s="32" t="s">
        <v>163</v>
      </c>
    </row>
    <row r="182" spans="1:18" x14ac:dyDescent="0.25">
      <c r="A182" s="32" t="s">
        <v>164</v>
      </c>
      <c r="B182" s="32">
        <v>56309</v>
      </c>
      <c r="C182" s="32">
        <v>48278</v>
      </c>
      <c r="D182" s="32">
        <v>63003</v>
      </c>
      <c r="E182" s="32">
        <v>67008</v>
      </c>
      <c r="F182" s="32">
        <v>66610</v>
      </c>
      <c r="G182" s="32">
        <v>64297</v>
      </c>
      <c r="H182" s="32">
        <v>67249</v>
      </c>
      <c r="I182" s="32">
        <v>81634</v>
      </c>
      <c r="J182" s="32">
        <v>74614</v>
      </c>
      <c r="K182" s="32">
        <v>59779</v>
      </c>
      <c r="L182" s="32">
        <v>55153</v>
      </c>
      <c r="M182" s="32">
        <v>55048</v>
      </c>
      <c r="N182" s="32">
        <f>SUM(B182:M182)</f>
        <v>758982</v>
      </c>
    </row>
    <row r="184" spans="1:18" x14ac:dyDescent="0.25">
      <c r="A184" s="32" t="s">
        <v>32</v>
      </c>
      <c r="B184" s="32">
        <v>56309</v>
      </c>
      <c r="C184" s="32">
        <v>48278</v>
      </c>
      <c r="D184" s="32">
        <v>63003</v>
      </c>
      <c r="E184" s="32">
        <v>67008</v>
      </c>
      <c r="F184" s="32">
        <v>66610</v>
      </c>
      <c r="G184" s="32">
        <v>64297</v>
      </c>
      <c r="H184" s="32">
        <v>67249</v>
      </c>
      <c r="I184" s="32">
        <v>81634</v>
      </c>
      <c r="J184" s="32">
        <v>74614</v>
      </c>
      <c r="K184" s="32">
        <v>79779</v>
      </c>
      <c r="L184" s="32">
        <v>59779</v>
      </c>
      <c r="M184" s="32">
        <v>55153</v>
      </c>
      <c r="N184" s="32">
        <f>SUM(B184:M184)</f>
        <v>783713</v>
      </c>
    </row>
    <row r="186" spans="1:18" x14ac:dyDescent="0.25">
      <c r="A186" s="32" t="s">
        <v>165</v>
      </c>
      <c r="B186" s="32">
        <v>3896019.71</v>
      </c>
      <c r="C186" s="32">
        <v>3364572.39</v>
      </c>
      <c r="D186" s="32">
        <v>4422614.7699999996</v>
      </c>
      <c r="E186" s="32">
        <v>4737855.54</v>
      </c>
      <c r="F186" s="32">
        <v>4743860.05</v>
      </c>
      <c r="G186" s="32">
        <v>4656519.13</v>
      </c>
      <c r="H186" s="32">
        <v>5397653.8499999996</v>
      </c>
      <c r="I186" s="32">
        <v>5941215.9699999997</v>
      </c>
      <c r="J186" s="32">
        <v>5469679.2800000003</v>
      </c>
      <c r="K186" s="32">
        <v>4413950.53</v>
      </c>
      <c r="L186" s="32">
        <v>4101906.54</v>
      </c>
      <c r="M186" s="32">
        <v>4123774.54</v>
      </c>
      <c r="N186" s="32">
        <f>SUM(B186:M186)</f>
        <v>55269622.299999997</v>
      </c>
    </row>
    <row r="188" spans="1:18" x14ac:dyDescent="0.25">
      <c r="A188" s="32" t="s">
        <v>166</v>
      </c>
      <c r="B188" s="32">
        <v>3692535.29</v>
      </c>
      <c r="C188" s="32">
        <v>3896019.71</v>
      </c>
      <c r="D188" s="32">
        <v>3364572.39</v>
      </c>
      <c r="E188" s="32">
        <v>4422614.7699999996</v>
      </c>
      <c r="F188" s="32">
        <v>4737855.54</v>
      </c>
      <c r="G188" s="32">
        <v>4743860.05</v>
      </c>
      <c r="H188" s="32">
        <v>4656519.13</v>
      </c>
      <c r="I188" s="32">
        <v>5397653.8499999996</v>
      </c>
      <c r="J188" s="32">
        <v>5941215.9699999997</v>
      </c>
      <c r="K188" s="32">
        <v>5469679.2800000003</v>
      </c>
      <c r="L188" s="32">
        <v>4413950.53</v>
      </c>
      <c r="M188" s="32">
        <v>4101906.54</v>
      </c>
      <c r="N188" s="32">
        <f>SUM(B188:M188)</f>
        <v>54838383.049999997</v>
      </c>
    </row>
    <row r="190" spans="1:18" x14ac:dyDescent="0.25">
      <c r="A190" s="32" t="s">
        <v>182</v>
      </c>
      <c r="Q190" s="56"/>
      <c r="R190" s="56"/>
    </row>
    <row r="191" spans="1:18" x14ac:dyDescent="0.25">
      <c r="A191" s="32" t="s">
        <v>180</v>
      </c>
      <c r="B191" s="32">
        <v>27653.38</v>
      </c>
      <c r="F191" s="32">
        <v>30884.95</v>
      </c>
      <c r="G191" s="32">
        <v>29720.959999999999</v>
      </c>
      <c r="H191" s="32">
        <v>34341.269999999997</v>
      </c>
      <c r="I191" s="32">
        <v>31021.8</v>
      </c>
      <c r="N191" s="32">
        <f>SUM(B191:M191)</f>
        <v>153622.35999999999</v>
      </c>
    </row>
    <row r="193" spans="1:14" x14ac:dyDescent="0.25">
      <c r="A193" s="32" t="s">
        <v>181</v>
      </c>
      <c r="B193" s="32">
        <v>56309</v>
      </c>
      <c r="C193" s="32">
        <v>48278</v>
      </c>
      <c r="D193" s="32">
        <v>63003</v>
      </c>
      <c r="E193" s="32">
        <v>67008</v>
      </c>
      <c r="F193" s="32">
        <v>66610</v>
      </c>
      <c r="G193" s="32">
        <v>64297</v>
      </c>
      <c r="H193" s="32">
        <v>67249</v>
      </c>
      <c r="I193" s="32">
        <v>81634</v>
      </c>
      <c r="J193" s="32">
        <v>74614</v>
      </c>
      <c r="K193" s="32">
        <v>59779</v>
      </c>
      <c r="L193" s="32">
        <v>55153</v>
      </c>
      <c r="M193" s="32">
        <v>55048</v>
      </c>
      <c r="N193" s="32">
        <f t="shared" ref="N193" si="40">SUM(B193:M193)</f>
        <v>758982</v>
      </c>
    </row>
    <row r="196" spans="1:14" x14ac:dyDescent="0.25">
      <c r="B196" s="32" t="s">
        <v>183</v>
      </c>
      <c r="F196" s="32" t="s">
        <v>185</v>
      </c>
    </row>
    <row r="197" spans="1:14" x14ac:dyDescent="0.25">
      <c r="B197" s="32" t="s">
        <v>184</v>
      </c>
      <c r="F197" s="32" t="s">
        <v>186</v>
      </c>
    </row>
  </sheetData>
  <sheetProtection algorithmName="SHA-512" hashValue="NEBOOF2SS3WQM1lFANKWiucPNy+1rcIooZLus955rCYt2LxRtZPBygCWgfqQfnOKmZElM2Xf7EfEchlV0mglKA==" saltValue="/IaR31cX7KwCSyx84liCkQ==" spinCount="100000" sheet="1" selectLockedCells="1"/>
  <mergeCells count="4">
    <mergeCell ref="A4:R4"/>
    <mergeCell ref="A3:R3"/>
    <mergeCell ref="A1:R1"/>
    <mergeCell ref="A6:O6"/>
  </mergeCells>
  <pageMargins left="0.23622047244094491" right="0.23622047244094491" top="0.74803149606299213" bottom="0.74803149606299213" header="0.31496062992125984" footer="0.31496062992125984"/>
  <pageSetup scale="3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18"/>
  <sheetViews>
    <sheetView workbookViewId="0">
      <selection activeCell="C24" sqref="C24"/>
    </sheetView>
  </sheetViews>
  <sheetFormatPr baseColWidth="10" defaultRowHeight="15" x14ac:dyDescent="0.25"/>
  <cols>
    <col min="1" max="1" width="18.85546875" customWidth="1"/>
    <col min="2" max="2" width="3.42578125" customWidth="1"/>
    <col min="3" max="3" width="14.42578125" bestFit="1" customWidth="1"/>
    <col min="4" max="5" width="14.42578125" customWidth="1"/>
    <col min="6" max="6" width="14.42578125" bestFit="1" customWidth="1"/>
    <col min="8" max="8" width="8" customWidth="1"/>
    <col min="9" max="9" width="6.140625" customWidth="1"/>
  </cols>
  <sheetData>
    <row r="4" spans="1:9" ht="45" x14ac:dyDescent="0.25">
      <c r="C4" t="s">
        <v>172</v>
      </c>
      <c r="D4" s="102" t="s">
        <v>174</v>
      </c>
      <c r="E4" s="102" t="s">
        <v>175</v>
      </c>
      <c r="F4" s="102" t="s">
        <v>173</v>
      </c>
      <c r="G4" s="102" t="s">
        <v>176</v>
      </c>
      <c r="H4" s="102" t="s">
        <v>177</v>
      </c>
    </row>
    <row r="5" spans="1:9" ht="15.75" x14ac:dyDescent="0.25">
      <c r="A5" s="103" t="s">
        <v>167</v>
      </c>
      <c r="C5" s="14">
        <v>2364341.8199999998</v>
      </c>
      <c r="D5" s="14">
        <v>1868720.97</v>
      </c>
      <c r="E5" s="14">
        <v>1572199.59</v>
      </c>
      <c r="F5" s="14">
        <v>1011850</v>
      </c>
      <c r="G5" s="104">
        <f>E5/D5</f>
        <v>0.84132388689361159</v>
      </c>
      <c r="H5" s="104">
        <f>F5/D5</f>
        <v>0.54146660536484481</v>
      </c>
      <c r="I5" s="104">
        <f>F5/D$11</f>
        <v>0.35973012117343017</v>
      </c>
    </row>
    <row r="6" spans="1:9" ht="15.75" x14ac:dyDescent="0.25">
      <c r="A6" s="103" t="s">
        <v>168</v>
      </c>
      <c r="C6" s="14">
        <v>400917.56</v>
      </c>
      <c r="D6" s="14">
        <v>261558.36</v>
      </c>
      <c r="E6" s="14">
        <v>229893.69</v>
      </c>
      <c r="F6" s="14">
        <v>167116</v>
      </c>
      <c r="G6" s="104">
        <f t="shared" ref="G6:G9" si="0">E6/D6</f>
        <v>0.87893841359152125</v>
      </c>
      <c r="H6" s="104">
        <f t="shared" ref="H6:H9" si="1">F6/D6</f>
        <v>0.63892433031006923</v>
      </c>
      <c r="I6" s="104">
        <f>F6/D$11</f>
        <v>5.9412619390244552E-2</v>
      </c>
    </row>
    <row r="7" spans="1:9" ht="15.75" x14ac:dyDescent="0.25">
      <c r="A7" s="103" t="s">
        <v>169</v>
      </c>
      <c r="C7" s="14">
        <v>7132211.3600000003</v>
      </c>
      <c r="D7" s="14">
        <f>5019385-4422614</f>
        <v>596771</v>
      </c>
      <c r="E7" s="14">
        <f>3781785.77-3364572</f>
        <v>417213.77</v>
      </c>
      <c r="F7" s="14">
        <v>411241</v>
      </c>
      <c r="G7" s="104">
        <f t="shared" si="0"/>
        <v>0.69911870717578439</v>
      </c>
      <c r="H7" s="104">
        <f t="shared" si="1"/>
        <v>0.68911022821149148</v>
      </c>
      <c r="I7" s="104">
        <f>F7/D$11</f>
        <v>0.14620326605868714</v>
      </c>
    </row>
    <row r="8" spans="1:9" ht="15.75" x14ac:dyDescent="0.25">
      <c r="A8" s="103" t="s">
        <v>170</v>
      </c>
      <c r="C8" s="14">
        <v>67164</v>
      </c>
      <c r="D8" s="14">
        <v>28915.9</v>
      </c>
      <c r="E8" s="14">
        <v>9304.64</v>
      </c>
      <c r="F8" s="14">
        <v>1154.7</v>
      </c>
      <c r="G8" s="104">
        <f t="shared" si="0"/>
        <v>0.32178282536597508</v>
      </c>
      <c r="H8" s="104">
        <f t="shared" si="1"/>
        <v>3.993304721623743E-2</v>
      </c>
      <c r="I8" s="104">
        <f>F8/D$11</f>
        <v>4.105157591727626E-4</v>
      </c>
    </row>
    <row r="9" spans="1:9" ht="15.75" x14ac:dyDescent="0.25">
      <c r="A9" s="103" t="s">
        <v>171</v>
      </c>
      <c r="C9" s="14">
        <v>77499.509999999995</v>
      </c>
      <c r="D9" s="14">
        <v>56836.87</v>
      </c>
      <c r="E9" s="14">
        <v>122343.01</v>
      </c>
      <c r="F9" s="14">
        <v>36809</v>
      </c>
      <c r="G9" s="104">
        <f t="shared" si="0"/>
        <v>2.152528983387016</v>
      </c>
      <c r="H9" s="104">
        <f t="shared" si="1"/>
        <v>0.64762538823830373</v>
      </c>
      <c r="I9" s="104">
        <f>F9/D$11</f>
        <v>1.3086234155529763E-2</v>
      </c>
    </row>
    <row r="10" spans="1:9" ht="15.75" x14ac:dyDescent="0.25">
      <c r="A10" s="103"/>
      <c r="I10" s="104"/>
    </row>
    <row r="11" spans="1:9" x14ac:dyDescent="0.25">
      <c r="C11" s="105">
        <f>SUM(C5:C10)</f>
        <v>10042134.25</v>
      </c>
      <c r="D11" s="105">
        <f t="shared" ref="D11:F11" si="2">SUM(D5:D10)</f>
        <v>2812803.1</v>
      </c>
      <c r="E11" s="105">
        <f t="shared" si="2"/>
        <v>2350954.6999999997</v>
      </c>
      <c r="F11" s="105">
        <f t="shared" si="2"/>
        <v>1628170.7</v>
      </c>
      <c r="I11" s="104">
        <f>F11/D$11</f>
        <v>0.57884275653706441</v>
      </c>
    </row>
    <row r="14" spans="1:9" x14ac:dyDescent="0.25">
      <c r="C14" s="14">
        <v>2364341.8199999998</v>
      </c>
      <c r="F14">
        <v>1305250</v>
      </c>
      <c r="G14" s="105"/>
      <c r="H14" s="105"/>
    </row>
    <row r="15" spans="1:9" x14ac:dyDescent="0.25">
      <c r="C15" s="14">
        <v>400917.56</v>
      </c>
    </row>
    <row r="16" spans="1:9" x14ac:dyDescent="0.25">
      <c r="C16" s="14">
        <v>7132211.3600000003</v>
      </c>
    </row>
    <row r="17" spans="3:3" x14ac:dyDescent="0.25">
      <c r="C17" s="14">
        <v>67164</v>
      </c>
    </row>
    <row r="18" spans="3:3" x14ac:dyDescent="0.25">
      <c r="C18" s="14">
        <v>77499.509999999995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workbookViewId="0">
      <selection activeCell="D1" sqref="D1:K1048576"/>
    </sheetView>
  </sheetViews>
  <sheetFormatPr baseColWidth="10" defaultRowHeight="15" x14ac:dyDescent="0.25"/>
  <cols>
    <col min="1" max="1" width="17.140625" customWidth="1"/>
    <col min="4" max="11" width="12.7109375" bestFit="1" customWidth="1"/>
  </cols>
  <sheetData>
    <row r="1" spans="1:11" ht="15.75" x14ac:dyDescent="0.25">
      <c r="A1" s="63"/>
      <c r="B1" s="64"/>
      <c r="C1" s="64"/>
    </row>
    <row r="2" spans="1:11" x14ac:dyDescent="0.25">
      <c r="A2" s="65"/>
      <c r="B2" s="11"/>
      <c r="C2" s="7"/>
    </row>
    <row r="3" spans="1:11" ht="15.75" x14ac:dyDescent="0.25">
      <c r="A3" s="66"/>
      <c r="B3" s="10"/>
      <c r="C3" s="10"/>
    </row>
    <row r="4" spans="1:11" x14ac:dyDescent="0.25">
      <c r="A4" s="52"/>
      <c r="B4" s="8"/>
      <c r="C4" s="8"/>
    </row>
    <row r="5" spans="1:11" x14ac:dyDescent="0.25">
      <c r="A5" s="52"/>
      <c r="B5" s="11"/>
      <c r="C5" s="11"/>
    </row>
    <row r="6" spans="1:11" x14ac:dyDescent="0.25">
      <c r="A6" s="52"/>
      <c r="B6" s="11"/>
      <c r="C6" s="11"/>
    </row>
    <row r="7" spans="1:11" x14ac:dyDescent="0.25">
      <c r="A7" s="52"/>
      <c r="B7" s="8"/>
      <c r="C7" s="8"/>
      <c r="D7" s="14">
        <v>361756.54</v>
      </c>
      <c r="E7" s="14">
        <v>357409.18</v>
      </c>
      <c r="F7" s="14">
        <v>361540.05</v>
      </c>
      <c r="G7" s="14">
        <v>386616.35</v>
      </c>
      <c r="H7" s="14">
        <v>352306.58</v>
      </c>
      <c r="I7" s="14">
        <v>393777.08</v>
      </c>
      <c r="J7" s="14">
        <v>456188.06</v>
      </c>
      <c r="K7" s="14">
        <v>393759.98</v>
      </c>
    </row>
    <row r="8" spans="1:11" x14ac:dyDescent="0.25">
      <c r="A8" s="52"/>
      <c r="B8" s="11"/>
      <c r="C8" s="11"/>
    </row>
    <row r="9" spans="1:11" x14ac:dyDescent="0.25">
      <c r="A9" s="52"/>
      <c r="B9" s="11"/>
      <c r="C9" s="11"/>
    </row>
    <row r="10" spans="1:11" x14ac:dyDescent="0.25">
      <c r="A10" s="52"/>
      <c r="B10" s="8"/>
      <c r="C10" s="8"/>
    </row>
    <row r="11" spans="1:11" x14ac:dyDescent="0.25">
      <c r="A11" s="52"/>
      <c r="B11" s="11"/>
      <c r="C11" s="11"/>
    </row>
    <row r="12" spans="1:11" x14ac:dyDescent="0.25">
      <c r="A12" s="52"/>
      <c r="B12" s="11"/>
      <c r="C12" s="11"/>
    </row>
    <row r="13" spans="1:11" x14ac:dyDescent="0.25">
      <c r="A13" s="52"/>
      <c r="B13" s="11"/>
      <c r="C13" s="11"/>
    </row>
    <row r="14" spans="1:11" x14ac:dyDescent="0.25">
      <c r="A14" s="53"/>
      <c r="B14" s="8"/>
      <c r="C14" s="11"/>
    </row>
    <row r="15" spans="1:11" x14ac:dyDescent="0.25">
      <c r="A15" s="52"/>
      <c r="B15" s="11"/>
      <c r="C15" s="11"/>
    </row>
    <row r="16" spans="1:11" x14ac:dyDescent="0.25">
      <c r="A16" s="52"/>
      <c r="B16" s="11"/>
      <c r="C16" s="11"/>
    </row>
    <row r="17" spans="1:3" x14ac:dyDescent="0.25">
      <c r="A17" s="67"/>
      <c r="B17" s="48"/>
      <c r="C17" s="11"/>
    </row>
    <row r="18" spans="1:3" x14ac:dyDescent="0.25">
      <c r="A18" s="67"/>
      <c r="B18" s="11"/>
      <c r="C18" s="11"/>
    </row>
    <row r="19" spans="1:3" x14ac:dyDescent="0.25">
      <c r="A19" s="67"/>
      <c r="B19" s="11"/>
      <c r="C19" s="11"/>
    </row>
    <row r="20" spans="1:3" x14ac:dyDescent="0.25">
      <c r="A20" s="67"/>
      <c r="B20" s="11"/>
      <c r="C20" s="11"/>
    </row>
    <row r="21" spans="1:3" x14ac:dyDescent="0.25">
      <c r="A21" s="67"/>
      <c r="B21" s="11"/>
      <c r="C21" s="11"/>
    </row>
    <row r="22" spans="1:3" x14ac:dyDescent="0.25">
      <c r="A22" s="67"/>
      <c r="B22" s="11"/>
      <c r="C22" s="11"/>
    </row>
    <row r="23" spans="1:3" x14ac:dyDescent="0.25">
      <c r="A23" s="67"/>
      <c r="B23" s="11"/>
      <c r="C23" s="11"/>
    </row>
    <row r="24" spans="1:3" x14ac:dyDescent="0.25">
      <c r="A24" s="67"/>
      <c r="B24" s="11"/>
      <c r="C24" s="11"/>
    </row>
    <row r="25" spans="1:3" x14ac:dyDescent="0.25">
      <c r="A25" s="68"/>
      <c r="B25" s="12"/>
      <c r="C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Jauregui</dc:creator>
  <cp:lastModifiedBy>JMAS Administracion</cp:lastModifiedBy>
  <cp:lastPrinted>2024-02-02T20:23:49Z</cp:lastPrinted>
  <dcterms:created xsi:type="dcterms:W3CDTF">2014-03-28T15:53:31Z</dcterms:created>
  <dcterms:modified xsi:type="dcterms:W3CDTF">2024-02-02T20:24:36Z</dcterms:modified>
</cp:coreProperties>
</file>