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2600"/>
  </bookViews>
  <sheets>
    <sheet name="5.- PIGOO 2023" sheetId="1" r:id="rId1"/>
  </sheets>
  <externalReferences>
    <externalReference r:id="rId2"/>
    <externalReference r:id="rId3"/>
  </externalReferences>
  <definedNames>
    <definedName name="_Cua1">#REF!</definedName>
    <definedName name="aa">#REF!</definedName>
    <definedName name="Admin.">#REF!</definedName>
    <definedName name="Admin2">'[1]Gastos de Admin.'!$H$234</definedName>
    <definedName name="_xlnm.Extract">#REF!</definedName>
    <definedName name="Comerc.">#REF!</definedName>
    <definedName name="Cua">#REF!</definedName>
    <definedName name="Egresos">#REF!</definedName>
    <definedName name="Grales.">#REF!</definedName>
    <definedName name="ing">#REF!</definedName>
    <definedName name="Ingresos">#REF!</definedName>
    <definedName name="inv">#REF!</definedName>
    <definedName name="Inversiones">#REF!</definedName>
    <definedName name="Op.Mant.">#REF!</definedName>
    <definedName name="Rubro">[2]!Tabla5[#Data]</definedName>
    <definedName name="Tot.Gastos">#REF!</definedName>
    <definedName name="xxxx">#REF!</definedName>
  </definedNames>
  <calcPr calcId="145621"/>
</workbook>
</file>

<file path=xl/calcChain.xml><?xml version="1.0" encoding="utf-8"?>
<calcChain xmlns="http://schemas.openxmlformats.org/spreadsheetml/2006/main">
  <c r="K172" i="1" l="1"/>
  <c r="M166" i="1"/>
  <c r="L166" i="1"/>
  <c r="K166" i="1"/>
  <c r="J166" i="1"/>
  <c r="I166" i="1"/>
  <c r="H166" i="1"/>
  <c r="G166" i="1"/>
  <c r="F166" i="1"/>
  <c r="E166" i="1"/>
  <c r="D166" i="1"/>
  <c r="C166" i="1"/>
  <c r="B166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M156" i="1"/>
  <c r="L156" i="1"/>
  <c r="K156" i="1"/>
  <c r="J156" i="1"/>
  <c r="I156" i="1"/>
  <c r="I155" i="1" s="1"/>
  <c r="H156" i="1"/>
  <c r="H155" i="1" s="1"/>
  <c r="G156" i="1"/>
  <c r="G155" i="1" s="1"/>
  <c r="F156" i="1"/>
  <c r="F155" i="1" s="1"/>
  <c r="E156" i="1"/>
  <c r="D156" i="1"/>
  <c r="C156" i="1"/>
  <c r="B156" i="1"/>
  <c r="M155" i="1"/>
  <c r="L155" i="1"/>
  <c r="K155" i="1"/>
  <c r="J155" i="1"/>
  <c r="E155" i="1"/>
  <c r="D155" i="1"/>
  <c r="C155" i="1"/>
  <c r="B155" i="1"/>
  <c r="C152" i="1"/>
  <c r="B152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E139" i="1"/>
  <c r="D139" i="1"/>
  <c r="C139" i="1"/>
  <c r="B139" i="1"/>
  <c r="D138" i="1"/>
  <c r="D152" i="1" s="1"/>
  <c r="M131" i="1"/>
  <c r="L131" i="1"/>
  <c r="K131" i="1"/>
  <c r="J131" i="1"/>
  <c r="I131" i="1"/>
  <c r="H131" i="1"/>
  <c r="G131" i="1"/>
  <c r="F131" i="1"/>
  <c r="M130" i="1"/>
  <c r="L130" i="1"/>
  <c r="K130" i="1"/>
  <c r="J130" i="1"/>
  <c r="J128" i="1" s="1"/>
  <c r="I130" i="1"/>
  <c r="I128" i="1" s="1"/>
  <c r="H130" i="1"/>
  <c r="H128" i="1" s="1"/>
  <c r="G130" i="1"/>
  <c r="G128" i="1" s="1"/>
  <c r="F130" i="1"/>
  <c r="F128" i="1" s="1"/>
  <c r="M128" i="1"/>
  <c r="L128" i="1"/>
  <c r="K128" i="1"/>
  <c r="E128" i="1"/>
  <c r="D128" i="1"/>
  <c r="C128" i="1"/>
  <c r="B128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M103" i="1"/>
  <c r="M102" i="1" s="1"/>
  <c r="L103" i="1"/>
  <c r="L102" i="1" s="1"/>
  <c r="K103" i="1"/>
  <c r="K102" i="1" s="1"/>
  <c r="J103" i="1"/>
  <c r="J102" i="1" s="1"/>
  <c r="I103" i="1"/>
  <c r="H103" i="1"/>
  <c r="G103" i="1"/>
  <c r="F103" i="1"/>
  <c r="E103" i="1"/>
  <c r="E102" i="1" s="1"/>
  <c r="D103" i="1"/>
  <c r="D102" i="1" s="1"/>
  <c r="C103" i="1"/>
  <c r="C102" i="1" s="1"/>
  <c r="B103" i="1"/>
  <c r="B102" i="1" s="1"/>
  <c r="I102" i="1"/>
  <c r="H102" i="1"/>
  <c r="G102" i="1"/>
  <c r="F102" i="1"/>
  <c r="M99" i="1"/>
  <c r="L99" i="1"/>
  <c r="K99" i="1"/>
  <c r="J99" i="1"/>
  <c r="I99" i="1"/>
  <c r="H99" i="1"/>
  <c r="G99" i="1"/>
  <c r="F99" i="1"/>
  <c r="E99" i="1"/>
  <c r="D99" i="1"/>
  <c r="C99" i="1"/>
  <c r="B99" i="1"/>
  <c r="M93" i="1"/>
  <c r="L93" i="1"/>
  <c r="K93" i="1"/>
  <c r="J93" i="1"/>
  <c r="I93" i="1"/>
  <c r="H93" i="1"/>
  <c r="G93" i="1"/>
  <c r="F93" i="1"/>
  <c r="E93" i="1"/>
  <c r="D93" i="1"/>
  <c r="C93" i="1"/>
  <c r="B93" i="1"/>
  <c r="M87" i="1"/>
  <c r="M86" i="1" s="1"/>
  <c r="M176" i="1" s="1"/>
  <c r="L87" i="1"/>
  <c r="L86" i="1" s="1"/>
  <c r="L176" i="1" s="1"/>
  <c r="K87" i="1"/>
  <c r="K86" i="1" s="1"/>
  <c r="K176" i="1" s="1"/>
  <c r="J87" i="1"/>
  <c r="I87" i="1"/>
  <c r="H87" i="1"/>
  <c r="G87" i="1"/>
  <c r="F87" i="1"/>
  <c r="E87" i="1"/>
  <c r="E86" i="1" s="1"/>
  <c r="E176" i="1" s="1"/>
  <c r="D87" i="1"/>
  <c r="C87" i="1"/>
  <c r="B87" i="1"/>
  <c r="B86" i="1" s="1"/>
  <c r="I86" i="1"/>
  <c r="I176" i="1" s="1"/>
  <c r="H86" i="1"/>
  <c r="H176" i="1" s="1"/>
  <c r="G86" i="1"/>
  <c r="G176" i="1" s="1"/>
  <c r="F86" i="1"/>
  <c r="F176" i="1" s="1"/>
  <c r="L83" i="1"/>
  <c r="K83" i="1"/>
  <c r="F83" i="1"/>
  <c r="E83" i="1"/>
  <c r="D83" i="1"/>
  <c r="C83" i="1"/>
  <c r="L82" i="1"/>
  <c r="K82" i="1"/>
  <c r="F82" i="1"/>
  <c r="E82" i="1"/>
  <c r="D82" i="1"/>
  <c r="C82" i="1"/>
  <c r="N80" i="1"/>
  <c r="N79" i="1"/>
  <c r="N78" i="1"/>
  <c r="N77" i="1"/>
  <c r="K76" i="1"/>
  <c r="K75" i="1" s="1"/>
  <c r="G76" i="1"/>
  <c r="G75" i="1" s="1"/>
  <c r="D76" i="1"/>
  <c r="N76" i="1" s="1"/>
  <c r="C76" i="1"/>
  <c r="M75" i="1"/>
  <c r="L75" i="1"/>
  <c r="J75" i="1"/>
  <c r="I75" i="1"/>
  <c r="H75" i="1"/>
  <c r="F75" i="1"/>
  <c r="E75" i="1"/>
  <c r="D75" i="1"/>
  <c r="C75" i="1"/>
  <c r="B75" i="1"/>
  <c r="N73" i="1"/>
  <c r="N72" i="1"/>
  <c r="N71" i="1"/>
  <c r="N70" i="1"/>
  <c r="N69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M66" i="1"/>
  <c r="L66" i="1"/>
  <c r="K66" i="1"/>
  <c r="J66" i="1"/>
  <c r="I66" i="1"/>
  <c r="H66" i="1"/>
  <c r="G66" i="1"/>
  <c r="F66" i="1"/>
  <c r="E66" i="1"/>
  <c r="D66" i="1"/>
  <c r="C66" i="1"/>
  <c r="N65" i="1"/>
  <c r="N63" i="1"/>
  <c r="N61" i="1" s="1"/>
  <c r="N62" i="1"/>
  <c r="M61" i="1"/>
  <c r="L61" i="1"/>
  <c r="K61" i="1"/>
  <c r="J61" i="1"/>
  <c r="I61" i="1"/>
  <c r="H61" i="1"/>
  <c r="G61" i="1"/>
  <c r="F61" i="1"/>
  <c r="E61" i="1"/>
  <c r="D61" i="1"/>
  <c r="C61" i="1"/>
  <c r="B61" i="1"/>
  <c r="N59" i="1"/>
  <c r="N58" i="1"/>
  <c r="N57" i="1"/>
  <c r="N56" i="1"/>
  <c r="N55" i="1"/>
  <c r="M54" i="1"/>
  <c r="L54" i="1"/>
  <c r="K54" i="1"/>
  <c r="J54" i="1"/>
  <c r="I54" i="1"/>
  <c r="H54" i="1"/>
  <c r="G54" i="1"/>
  <c r="F54" i="1"/>
  <c r="E54" i="1"/>
  <c r="D54" i="1"/>
  <c r="C54" i="1"/>
  <c r="B54" i="1"/>
  <c r="N52" i="1"/>
  <c r="M50" i="1"/>
  <c r="L50" i="1"/>
  <c r="K50" i="1"/>
  <c r="J50" i="1"/>
  <c r="I50" i="1"/>
  <c r="H50" i="1"/>
  <c r="G50" i="1"/>
  <c r="F50" i="1"/>
  <c r="E50" i="1"/>
  <c r="D50" i="1"/>
  <c r="C50" i="1"/>
  <c r="B50" i="1"/>
  <c r="N49" i="1"/>
  <c r="N48" i="1"/>
  <c r="N47" i="1"/>
  <c r="N50" i="1" s="1"/>
  <c r="N44" i="1"/>
  <c r="N41" i="1" s="1"/>
  <c r="N43" i="1"/>
  <c r="N42" i="1"/>
  <c r="M41" i="1"/>
  <c r="L41" i="1"/>
  <c r="K41" i="1"/>
  <c r="J41" i="1"/>
  <c r="I41" i="1"/>
  <c r="H41" i="1"/>
  <c r="G41" i="1"/>
  <c r="F41" i="1"/>
  <c r="E41" i="1"/>
  <c r="D41" i="1"/>
  <c r="C41" i="1"/>
  <c r="B41" i="1"/>
  <c r="R39" i="1"/>
  <c r="N39" i="1"/>
  <c r="N38" i="1"/>
  <c r="R38" i="1" s="1"/>
  <c r="N35" i="1"/>
  <c r="R34" i="1"/>
  <c r="R33" i="1"/>
  <c r="Q33" i="1"/>
  <c r="L33" i="1"/>
  <c r="K33" i="1"/>
  <c r="R32" i="1"/>
  <c r="N32" i="1"/>
  <c r="G31" i="1"/>
  <c r="G34" i="1" s="1"/>
  <c r="R30" i="1"/>
  <c r="N30" i="1"/>
  <c r="N29" i="1"/>
  <c r="M28" i="1"/>
  <c r="L28" i="1"/>
  <c r="N28" i="1" s="1"/>
  <c r="K28" i="1"/>
  <c r="H28" i="1"/>
  <c r="H25" i="1" s="1"/>
  <c r="H22" i="1" s="1"/>
  <c r="H21" i="1" s="1"/>
  <c r="G28" i="1"/>
  <c r="G25" i="1" s="1"/>
  <c r="G22" i="1" s="1"/>
  <c r="F28" i="1"/>
  <c r="F25" i="1" s="1"/>
  <c r="E28" i="1"/>
  <c r="D28" i="1"/>
  <c r="M27" i="1"/>
  <c r="L27" i="1"/>
  <c r="K27" i="1"/>
  <c r="J27" i="1"/>
  <c r="I27" i="1"/>
  <c r="H27" i="1"/>
  <c r="G27" i="1"/>
  <c r="F27" i="1"/>
  <c r="E27" i="1"/>
  <c r="N27" i="1" s="1"/>
  <c r="D27" i="1"/>
  <c r="C27" i="1"/>
  <c r="N26" i="1"/>
  <c r="R25" i="1"/>
  <c r="O25" i="1"/>
  <c r="M25" i="1"/>
  <c r="M22" i="1" s="1"/>
  <c r="M21" i="1" s="1"/>
  <c r="K25" i="1"/>
  <c r="J25" i="1"/>
  <c r="I25" i="1"/>
  <c r="I22" i="1" s="1"/>
  <c r="I21" i="1" s="1"/>
  <c r="E25" i="1"/>
  <c r="D25" i="1"/>
  <c r="C25" i="1"/>
  <c r="C22" i="1" s="1"/>
  <c r="C21" i="1" s="1"/>
  <c r="B25" i="1"/>
  <c r="B22" i="1" s="1"/>
  <c r="B21" i="1" s="1"/>
  <c r="N24" i="1"/>
  <c r="N23" i="1"/>
  <c r="O22" i="1"/>
  <c r="K22" i="1"/>
  <c r="J22" i="1"/>
  <c r="J21" i="1" s="1"/>
  <c r="F22" i="1"/>
  <c r="F21" i="1" s="1"/>
  <c r="E22" i="1"/>
  <c r="E21" i="1" s="1"/>
  <c r="D22" i="1"/>
  <c r="D21" i="1" s="1"/>
  <c r="O21" i="1"/>
  <c r="K21" i="1"/>
  <c r="G21" i="1"/>
  <c r="N19" i="1"/>
  <c r="R19" i="1" s="1"/>
  <c r="N18" i="1"/>
  <c r="N17" i="1"/>
  <c r="N16" i="1"/>
  <c r="M15" i="1"/>
  <c r="D15" i="1"/>
  <c r="C15" i="1"/>
  <c r="N15" i="1" s="1"/>
  <c r="B15" i="1"/>
  <c r="M14" i="1"/>
  <c r="L14" i="1"/>
  <c r="L13" i="1" s="1"/>
  <c r="L11" i="1" s="1"/>
  <c r="L10" i="1" s="1"/>
  <c r="K14" i="1"/>
  <c r="K13" i="1" s="1"/>
  <c r="K11" i="1" s="1"/>
  <c r="K10" i="1" s="1"/>
  <c r="K31" i="1" s="1"/>
  <c r="K34" i="1" s="1"/>
  <c r="J14" i="1"/>
  <c r="J13" i="1" s="1"/>
  <c r="J11" i="1" s="1"/>
  <c r="J10" i="1" s="1"/>
  <c r="J31" i="1" s="1"/>
  <c r="J34" i="1" s="1"/>
  <c r="I14" i="1"/>
  <c r="I13" i="1" s="1"/>
  <c r="I11" i="1" s="1"/>
  <c r="I10" i="1" s="1"/>
  <c r="I31" i="1" s="1"/>
  <c r="I34" i="1" s="1"/>
  <c r="H14" i="1"/>
  <c r="G14" i="1"/>
  <c r="F14" i="1"/>
  <c r="E14" i="1"/>
  <c r="D14" i="1"/>
  <c r="C14" i="1"/>
  <c r="C13" i="1" s="1"/>
  <c r="C11" i="1" s="1"/>
  <c r="C10" i="1" s="1"/>
  <c r="B14" i="1"/>
  <c r="O13" i="1"/>
  <c r="M13" i="1"/>
  <c r="M11" i="1" s="1"/>
  <c r="M10" i="1" s="1"/>
  <c r="M31" i="1" s="1"/>
  <c r="M34" i="1" s="1"/>
  <c r="G13" i="1"/>
  <c r="F13" i="1"/>
  <c r="E13" i="1"/>
  <c r="D13" i="1"/>
  <c r="D11" i="1" s="1"/>
  <c r="D10" i="1" s="1"/>
  <c r="D31" i="1" s="1"/>
  <c r="D34" i="1" s="1"/>
  <c r="M12" i="1"/>
  <c r="L12" i="1"/>
  <c r="K12" i="1"/>
  <c r="J12" i="1"/>
  <c r="I12" i="1"/>
  <c r="G12" i="1"/>
  <c r="F12" i="1"/>
  <c r="E12" i="1"/>
  <c r="D12" i="1"/>
  <c r="C12" i="1"/>
  <c r="B12" i="1"/>
  <c r="O11" i="1"/>
  <c r="G11" i="1"/>
  <c r="F11" i="1"/>
  <c r="F10" i="1" s="1"/>
  <c r="F31" i="1" s="1"/>
  <c r="F34" i="1" s="1"/>
  <c r="E11" i="1"/>
  <c r="E10" i="1" s="1"/>
  <c r="E31" i="1" s="1"/>
  <c r="E34" i="1" s="1"/>
  <c r="O10" i="1"/>
  <c r="O31" i="1" s="1"/>
  <c r="O34" i="1" s="1"/>
  <c r="G10" i="1"/>
  <c r="R29" i="1" l="1"/>
  <c r="R15" i="1"/>
  <c r="C31" i="1"/>
  <c r="C34" i="1" s="1"/>
  <c r="H13" i="1"/>
  <c r="H11" i="1" s="1"/>
  <c r="H10" i="1" s="1"/>
  <c r="H31" i="1" s="1"/>
  <c r="H34" i="1" s="1"/>
  <c r="H12" i="1"/>
  <c r="N14" i="1"/>
  <c r="R20" i="1"/>
  <c r="R28" i="1"/>
  <c r="N25" i="1"/>
  <c r="J86" i="1"/>
  <c r="J176" i="1" s="1"/>
  <c r="E138" i="1"/>
  <c r="C141" i="1"/>
  <c r="C86" i="1"/>
  <c r="B13" i="1"/>
  <c r="B11" i="1" s="1"/>
  <c r="B10" i="1" s="1"/>
  <c r="B31" i="1" s="1"/>
  <c r="B34" i="1" s="1"/>
  <c r="N54" i="1"/>
  <c r="D141" i="1"/>
  <c r="D86" i="1"/>
  <c r="D176" i="1" s="1"/>
  <c r="R24" i="1"/>
  <c r="L25" i="1"/>
  <c r="L22" i="1" s="1"/>
  <c r="L21" i="1" s="1"/>
  <c r="N75" i="1"/>
  <c r="N66" i="1"/>
  <c r="R26" i="1" l="1"/>
  <c r="P29" i="1"/>
  <c r="Q29" i="1" s="1"/>
  <c r="P39" i="1"/>
  <c r="Q39" i="1" s="1"/>
  <c r="P24" i="1"/>
  <c r="Q24" i="1" s="1"/>
  <c r="P12" i="1"/>
  <c r="P13" i="1" s="1"/>
  <c r="P11" i="1" s="1"/>
  <c r="P10" i="1" s="1"/>
  <c r="P28" i="1"/>
  <c r="Q28" i="1" s="1"/>
  <c r="P30" i="1"/>
  <c r="Q30" i="1" s="1"/>
  <c r="P19" i="1"/>
  <c r="Q19" i="1" s="1"/>
  <c r="P23" i="1"/>
  <c r="P32" i="1"/>
  <c r="Q32" i="1" s="1"/>
  <c r="P26" i="1"/>
  <c r="P15" i="1"/>
  <c r="Q15" i="1" s="1"/>
  <c r="P38" i="1"/>
  <c r="Q38" i="1" s="1"/>
  <c r="N12" i="1"/>
  <c r="N13" i="1"/>
  <c r="N22" i="1"/>
  <c r="L31" i="1"/>
  <c r="L34" i="1" s="1"/>
  <c r="E152" i="1"/>
  <c r="F138" i="1"/>
  <c r="Q12" i="1" l="1"/>
  <c r="R13" i="1"/>
  <c r="F152" i="1"/>
  <c r="G138" i="1"/>
  <c r="P25" i="1"/>
  <c r="Q25" i="1" s="1"/>
  <c r="Q26" i="1"/>
  <c r="Q23" i="1"/>
  <c r="N21" i="1"/>
  <c r="R23" i="1"/>
  <c r="Q13" i="1"/>
  <c r="N11" i="1"/>
  <c r="Q11" i="1" l="1"/>
  <c r="N10" i="1"/>
  <c r="R12" i="1"/>
  <c r="H138" i="1"/>
  <c r="G152" i="1"/>
  <c r="R21" i="1"/>
  <c r="R22" i="1"/>
  <c r="P22" i="1"/>
  <c r="I138" i="1" l="1"/>
  <c r="H152" i="1"/>
  <c r="R10" i="1"/>
  <c r="Q10" i="1"/>
  <c r="N31" i="1"/>
  <c r="R11" i="1"/>
  <c r="P21" i="1"/>
  <c r="Q21" i="1" s="1"/>
  <c r="Q22" i="1"/>
  <c r="P31" i="1"/>
  <c r="P34" i="1" s="1"/>
  <c r="R31" i="1" l="1"/>
  <c r="Q31" i="1"/>
  <c r="N34" i="1"/>
  <c r="Q34" i="1" s="1"/>
  <c r="I152" i="1"/>
  <c r="J138" i="1"/>
  <c r="K138" i="1" l="1"/>
  <c r="J152" i="1"/>
  <c r="K152" i="1" l="1"/>
  <c r="L138" i="1"/>
  <c r="L152" i="1" l="1"/>
  <c r="M138" i="1"/>
  <c r="M152" i="1" s="1"/>
</calcChain>
</file>

<file path=xl/comments1.xml><?xml version="1.0" encoding="utf-8"?>
<comments xmlns="http://schemas.openxmlformats.org/spreadsheetml/2006/main">
  <authors>
    <author>JCASLAP37</author>
  </authors>
  <commentList>
    <comment ref="A12" authorId="0">
      <text>
        <r>
          <rPr>
            <b/>
            <sz val="9"/>
            <color indexed="81"/>
            <rFont val="Tahoma"/>
            <family val="2"/>
          </rPr>
          <t>JCASLAP37:</t>
        </r>
        <r>
          <rPr>
            <sz val="9"/>
            <color indexed="81"/>
            <rFont val="Tahoma"/>
            <family val="2"/>
          </rPr>
          <t xml:space="preserve">
Este cálculo debera conincidir con la cuenta 4143-01 (Ingreso por ADS)</t>
        </r>
      </text>
    </comment>
  </commentList>
</comments>
</file>

<file path=xl/sharedStrings.xml><?xml version="1.0" encoding="utf-8"?>
<sst xmlns="http://schemas.openxmlformats.org/spreadsheetml/2006/main" count="232" uniqueCount="190">
  <si>
    <t xml:space="preserve">JUNTA MUNICIPAL DE AGUA Y SANEAMIENTO DE NUEVO CASAS GRANDES </t>
  </si>
  <si>
    <t>ESTADO COMPARATIVO DE EGRESOS PRESUPUESTADO &amp; EJERCIDO</t>
  </si>
  <si>
    <t>Del 1ro. de Enero al 31 de Diciembre del 2023</t>
  </si>
  <si>
    <t xml:space="preserve">PROGRAMA DE INDICADORES DE GESTION </t>
  </si>
  <si>
    <t>Variables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</si>
  <si>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</si>
  <si>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</si>
  <si>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</si>
  <si>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</si>
  <si>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</si>
  <si>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</si>
  <si>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</si>
  <si>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</si>
  <si>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</si>
  <si>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</si>
  <si>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</si>
  <si>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</si>
  <si>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</si>
  <si>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Presupuesto Anual</t>
  </si>
  <si>
    <t>Presupuesto Acumulado del Periodo</t>
  </si>
  <si>
    <t>Diferencia</t>
  </si>
  <si>
    <t>Ejer &amp; Ppto</t>
  </si>
  <si>
    <t>1. Ingresos  (A+C)</t>
  </si>
  <si>
    <t>A) Ingresos propios netos (a+b+c)</t>
  </si>
  <si>
    <t>B) Ingresos por agua, alcantarillado y saneamiento netos (i+b+c)</t>
  </si>
  <si>
    <t>a) Ingresos propios (i+ii)</t>
  </si>
  <si>
    <t>i) ingresos por agua, alcantarillado y saneamiento brutos</t>
  </si>
  <si>
    <t>ii) resto de los ingresos propios</t>
  </si>
  <si>
    <t>b) Descuento social (numero en negativo)</t>
  </si>
  <si>
    <t>c) Bonificaciones (numero en negativo)</t>
  </si>
  <si>
    <t>d) Ajustes (numero en negativo) (DATO INFORMATIVO)</t>
  </si>
  <si>
    <t>C) Ingresos indirectos</t>
  </si>
  <si>
    <t>2. Egresos (A+B+C)</t>
  </si>
  <si>
    <t>A) Gastos de operación (a+b+c+d+e)</t>
  </si>
  <si>
    <t>a) Servicios personales</t>
  </si>
  <si>
    <t>b) Materiales y suministros</t>
  </si>
  <si>
    <t>c) Servicios Generales (i+ii)</t>
  </si>
  <si>
    <t>i) Energía eléctrica</t>
  </si>
  <si>
    <t>Energía eléctrica (para suministro de agua) (DATO INFORMATIVO)</t>
  </si>
  <si>
    <t>ii) Resto de los Servicios</t>
  </si>
  <si>
    <t>d) Transferencias, asignaciones, subsidios y ayudas</t>
  </si>
  <si>
    <t>e) Otros Gastos</t>
  </si>
  <si>
    <t>Resultado del Ejercicio</t>
  </si>
  <si>
    <t>B) Creditos</t>
  </si>
  <si>
    <t>C) Inversiones propias</t>
  </si>
  <si>
    <r>
      <t xml:space="preserve">Superavit / </t>
    </r>
    <r>
      <rPr>
        <b/>
        <i/>
        <sz val="11"/>
        <color rgb="FFFF0000"/>
        <rFont val="Arial"/>
        <family val="2"/>
      </rPr>
      <t>Deficit</t>
    </r>
  </si>
  <si>
    <t>D) Inversiones de Gobierno</t>
  </si>
  <si>
    <t>Saldo en Bancos</t>
  </si>
  <si>
    <t>DFEA</t>
  </si>
  <si>
    <t>5% JCAS</t>
  </si>
  <si>
    <t>Energía Eléctrica de Operación en KW (A+B+C)</t>
  </si>
  <si>
    <t>A) Agua potable</t>
  </si>
  <si>
    <t>B) Alcantarillado</t>
  </si>
  <si>
    <t>C) Saneamiento</t>
  </si>
  <si>
    <t>Desglose Consumo Eléctrico</t>
  </si>
  <si>
    <t>kwh Básico</t>
  </si>
  <si>
    <t>N/A</t>
  </si>
  <si>
    <t>kwh Intermedio</t>
  </si>
  <si>
    <t>kwh Pico (Excedente)</t>
  </si>
  <si>
    <t>kwh Totales</t>
  </si>
  <si>
    <t>Volumen de agua producida en m3</t>
  </si>
  <si>
    <t>Volumen de agua facturada (medida) en m3 (A+B+C+D+E)</t>
  </si>
  <si>
    <t>A) Doméstico m3</t>
  </si>
  <si>
    <t>B) Comercial m3</t>
  </si>
  <si>
    <t>C) Industrial m3</t>
  </si>
  <si>
    <t>D) Escolar m3</t>
  </si>
  <si>
    <t>E) Público m3</t>
  </si>
  <si>
    <t>Volumen de agua cobrado en m3 (A+B)</t>
  </si>
  <si>
    <t>A) A Tiempo m3</t>
  </si>
  <si>
    <t>B) Con Rezago m3</t>
  </si>
  <si>
    <t>Volumen de agua residual (por tratar) en m3 (Entrada a PTAR)</t>
  </si>
  <si>
    <t>Volumen de agua tratada en m3 (Salida de PTAR)</t>
  </si>
  <si>
    <t>Facturación de Agua, Drenaje y Saneamiento en $ (A+B+C+D+E)</t>
  </si>
  <si>
    <t>A) Doméstico facturado</t>
  </si>
  <si>
    <t>7,809,982.45</t>
  </si>
  <si>
    <t>7,239,735.31</t>
  </si>
  <si>
    <t>B) Comercial facturado</t>
  </si>
  <si>
    <t>$1,309,022.34</t>
  </si>
  <si>
    <t>1,233,529.54</t>
  </si>
  <si>
    <t>C) Industrial facturado</t>
  </si>
  <si>
    <t>$189,702.09</t>
  </si>
  <si>
    <t>160,608.12</t>
  </si>
  <si>
    <t>D) Escolar facturado</t>
  </si>
  <si>
    <t xml:space="preserve"> $128,385.99</t>
  </si>
  <si>
    <t>173,882.39</t>
  </si>
  <si>
    <t>E) Público facturado</t>
  </si>
  <si>
    <t xml:space="preserve"> $65,969.26</t>
  </si>
  <si>
    <t>$61,945.12</t>
  </si>
  <si>
    <t>Cobrado de Agua, Drenaje y Saneamiento en $ (A+B+C+D+E)</t>
  </si>
  <si>
    <t>A) Doméstico cobrado</t>
  </si>
  <si>
    <t>B) Comercial cobrado</t>
  </si>
  <si>
    <t>C) Industrial cobrado</t>
  </si>
  <si>
    <t>D) Escolar cobrado</t>
  </si>
  <si>
    <t>E) Público cobrado</t>
  </si>
  <si>
    <t>a) A tiempo $</t>
  </si>
  <si>
    <t>b) Con rezago $</t>
  </si>
  <si>
    <t>Padrón de usuarios</t>
  </si>
  <si>
    <t>Total de conexiones de agua (A+B)</t>
  </si>
  <si>
    <t>A) Conexiones de servicio medido  (a+b+c+d+e)</t>
  </si>
  <si>
    <t>a) Doméstico servicio medido</t>
  </si>
  <si>
    <t>b) Comercial servicio medido</t>
  </si>
  <si>
    <t>c) Industrial servicio medido</t>
  </si>
  <si>
    <t>d) Escolar servicio medido</t>
  </si>
  <si>
    <t>e) Público servicio medido</t>
  </si>
  <si>
    <t>B) Conexiones de cuota fija (a+b+c+d+e)</t>
  </si>
  <si>
    <t>a) Doméstico cuota fija</t>
  </si>
  <si>
    <t>b) Comercial cuota fija</t>
  </si>
  <si>
    <t>c) Industrial cuota fija</t>
  </si>
  <si>
    <t>d) Escolar cuota fija</t>
  </si>
  <si>
    <t>e) Público cuota fija</t>
  </si>
  <si>
    <t>Total de descargas de drenaje</t>
  </si>
  <si>
    <t xml:space="preserve">Analítico del Rezago </t>
  </si>
  <si>
    <t>Monto del Rezago (A+B+C)</t>
  </si>
  <si>
    <t>A) Rezago cobrable (a+b+c)</t>
  </si>
  <si>
    <t>a) Doméstico rezago</t>
  </si>
  <si>
    <t>27,988,868.04</t>
  </si>
  <si>
    <t>24,926,971.40</t>
  </si>
  <si>
    <t>b) Comercial rezago</t>
  </si>
  <si>
    <t>3,613,023.66</t>
  </si>
  <si>
    <t>3,433,199.96</t>
  </si>
  <si>
    <t>c) Industrial rezago</t>
  </si>
  <si>
    <t>43,337.86</t>
  </si>
  <si>
    <t>46,001.50</t>
  </si>
  <si>
    <t>B) Escolar rezago</t>
  </si>
  <si>
    <t>24,584,692.38</t>
  </si>
  <si>
    <t>24,818,557.05</t>
  </si>
  <si>
    <t>C) Público rezago</t>
  </si>
  <si>
    <t>11,596,693.94</t>
  </si>
  <si>
    <t>11,715,492.93</t>
  </si>
  <si>
    <t>No. De tomas con rezago (A+B+C+D)</t>
  </si>
  <si>
    <t>A) 1 y 2 meses</t>
  </si>
  <si>
    <t>B) De 3 a 6 meses</t>
  </si>
  <si>
    <t>C) De 7 a 12 meses</t>
  </si>
  <si>
    <t>D) 13 meses en delante</t>
  </si>
  <si>
    <t>Total de usuarios en consumo de 0 a 20 m3 (A+B+C+D)</t>
  </si>
  <si>
    <t>A) Usuarios en consumo de 0 m3</t>
  </si>
  <si>
    <t>B) Usuarios en consumo de 1 - 10 m3</t>
  </si>
  <si>
    <t>C) Usuarios en consumo de 11 - 15 m3</t>
  </si>
  <si>
    <t>D) Usuarios en consumo de 16 - 20 m3</t>
  </si>
  <si>
    <t>Precio de tarifas domesticas (A+B+C)</t>
  </si>
  <si>
    <t xml:space="preserve"> A) Tarifa domestica de 0 a 10 m3</t>
  </si>
  <si>
    <t xml:space="preserve"> B) Tarifa domestica de 15 m3</t>
  </si>
  <si>
    <t xml:space="preserve"> C) Tarifa domestica de 20 m3</t>
  </si>
  <si>
    <t xml:space="preserve">Coberturas de servicios </t>
  </si>
  <si>
    <t>No. habitantes según censo de INEGI (Localidad)</t>
  </si>
  <si>
    <t>No. de habitantes con servicio de agua potable (operativo)</t>
  </si>
  <si>
    <t>No. de habitantes con servicio de alcantarillado (operativo)</t>
  </si>
  <si>
    <t>No. de usuarios con pagos a tiempo (operativo)</t>
  </si>
  <si>
    <t>No. de usuarios con descuento social (operativo)</t>
  </si>
  <si>
    <t>Presion minima de suministro en la red (mca)</t>
  </si>
  <si>
    <t>Presión media de suministro en la red (mca)</t>
  </si>
  <si>
    <t>Presion maxima de suministro en la red (mca)</t>
  </si>
  <si>
    <t>Longitud de tubería de distribución  rehabilitada (Km)</t>
  </si>
  <si>
    <t>Longitud total de tubería de distribución (km)</t>
  </si>
  <si>
    <t>No. de micromedidores funcionando</t>
  </si>
  <si>
    <t>No. de micromedidores fuera de servicio</t>
  </si>
  <si>
    <t>No. de micromedidores instalados nuevos en el mes</t>
  </si>
  <si>
    <t>No. de micromedidores repuestos</t>
  </si>
  <si>
    <t>No. de macromedidores funcionando</t>
  </si>
  <si>
    <t>No. de macromedidores fuera de servicio</t>
  </si>
  <si>
    <t>No. de macromedidores repuestos</t>
  </si>
  <si>
    <t>No. Fuentes de abastecimiento</t>
  </si>
  <si>
    <t xml:space="preserve">           Pozos profundos</t>
  </si>
  <si>
    <t xml:space="preserve">           Presas</t>
  </si>
  <si>
    <t xml:space="preserve">           Galerias filtrantes</t>
  </si>
  <si>
    <t xml:space="preserve">           Manantiales</t>
  </si>
  <si>
    <t xml:space="preserve">           Otros</t>
  </si>
  <si>
    <t>Numero de fugas por Km/mes</t>
  </si>
  <si>
    <t>Recursos humanos</t>
  </si>
  <si>
    <t>A) Empleados Activos (a+b+c+d)</t>
  </si>
  <si>
    <t xml:space="preserve">a) Administración           </t>
  </si>
  <si>
    <r>
      <t xml:space="preserve">     </t>
    </r>
    <r>
      <rPr>
        <b/>
        <sz val="11"/>
        <rFont val="Arial"/>
        <family val="2"/>
      </rPr>
      <t>i.</t>
    </r>
    <r>
      <rPr>
        <sz val="11"/>
        <rFont val="Arial"/>
        <family val="2"/>
      </rPr>
      <t xml:space="preserve"> Confianza</t>
    </r>
  </si>
  <si>
    <r>
      <t xml:space="preserve">   </t>
    </r>
    <r>
      <rPr>
        <b/>
        <sz val="11"/>
        <rFont val="Arial"/>
        <family val="2"/>
      </rPr>
      <t xml:space="preserve">  ii.</t>
    </r>
    <r>
      <rPr>
        <sz val="11"/>
        <rFont val="Arial"/>
        <family val="2"/>
      </rPr>
      <t xml:space="preserve"> Sindicalizado</t>
    </r>
  </si>
  <si>
    <t>b) Comercialización</t>
  </si>
  <si>
    <t>c) Operación</t>
  </si>
  <si>
    <t>d) Eventuales (al dia ultimo de mes)</t>
  </si>
  <si>
    <t>B) Pensionados y jubilados</t>
  </si>
  <si>
    <t>No. de empleados dedicados al control de fugas</t>
  </si>
  <si>
    <t>No. de fugas detectadas</t>
  </si>
  <si>
    <t>No. de fugas reparadas</t>
  </si>
  <si>
    <t>No. de usuarios abastecidos con pipas</t>
  </si>
  <si>
    <t>No. de quejas recibidas</t>
  </si>
  <si>
    <t>No. de quejas atendidas</t>
  </si>
  <si>
    <t>No de tomas con servicio continuo</t>
  </si>
  <si>
    <t>No. de tomas con servicio menor de 12 hrs</t>
  </si>
  <si>
    <t>“Bajo protesta de decir verdad declaramos que los Estados Financieros y sus notas, son razonablemente correctos y son responsabilidad del emisor.”</t>
  </si>
  <si>
    <t>C.P. Blanca Judit Bencomo Castillo</t>
  </si>
  <si>
    <t>L.C. David Manuel Madrid Ontiveros</t>
  </si>
  <si>
    <t>Directora Financiera</t>
  </si>
  <si>
    <t xml:space="preserve">Director Ejecutivo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</si>
</sst>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_-* #,##0_-;\-* #,##0_-;_-* &quot;-&quot;??_-;_-@_-"/>
    <numFmt numFmtId="166" formatCode="_-* #,##0.000_-;\-* #,##0.000_-;_-* &quot;-&quot;??_-;_-@_-"/>
    <numFmt numFmtId="167" formatCode="_(* #,##0.00_);_(* \(#,##0.00\);_(* &quot;-&quot;??_);_(@_)"/>
    <numFmt numFmtId="168" formatCode="_([$€]* #,##0.00_);_([$€]* \(#,##0.00\);_([$€]* &quot;-&quot;??_);_(@_)"/>
    <numFmt numFmtId="169" formatCode="_(* #,##0_);_(* \(#,##0\);_(* &quot;-&quot;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5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i/>
      <sz val="11"/>
      <name val="Arial"/>
      <family val="2"/>
    </font>
    <font>
      <b/>
      <i/>
      <sz val="11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sz val="11"/>
      <color indexed="8"/>
      <name val="Calibri"/>
      <family val="2"/>
    </font>
    <font>
      <sz val="8"/>
      <color rgb="FF000000"/>
      <name val="Tahoma"/>
      <family val="2"/>
    </font>
    <font>
      <sz val="11"/>
      <color indexed="0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7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9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3" fillId="0" borderId="0"/>
    <xf numFmtId="0" fontId="24" fillId="0" borderId="0"/>
    <xf numFmtId="0" fontId="24" fillId="0" borderId="0"/>
    <xf numFmtId="0" fontId="25" fillId="0" borderId="0" applyNumberFormat="0" applyFill="0" applyBorder="0" applyAlignment="0" applyProtection="0">
      <alignment horizontal="left" vertical="top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26" fillId="0" borderId="0" applyBorder="0" applyAlignment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Protection="1">
      <protection locked="0"/>
    </xf>
    <xf numFmtId="0" fontId="4" fillId="2" borderId="0" xfId="4" applyFont="1" applyFill="1" applyProtection="1">
      <protection locked="0"/>
    </xf>
    <xf numFmtId="1" fontId="7" fillId="3" borderId="0" xfId="4" applyNumberFormat="1" applyFont="1" applyFill="1" applyAlignment="1" applyProtection="1">
      <protection locked="0"/>
    </xf>
    <xf numFmtId="1" fontId="6" fillId="2" borderId="0" xfId="4" applyNumberFormat="1" applyFont="1" applyFill="1" applyAlignment="1" applyProtection="1">
      <protection locked="0"/>
    </xf>
    <xf numFmtId="0" fontId="8" fillId="0" borderId="0" xfId="0" applyFont="1" applyProtection="1">
      <protection locked="0"/>
    </xf>
    <xf numFmtId="1" fontId="9" fillId="0" borderId="0" xfId="4" applyNumberFormat="1" applyFont="1" applyAlignment="1" applyProtection="1">
      <alignment horizontal="center"/>
      <protection locked="0"/>
    </xf>
    <xf numFmtId="1" fontId="10" fillId="0" borderId="0" xfId="4" applyNumberFormat="1" applyFont="1" applyAlignment="1" applyProtection="1">
      <alignment horizontal="center"/>
      <protection locked="0"/>
    </xf>
    <xf numFmtId="0" fontId="4" fillId="0" borderId="0" xfId="4" applyFont="1" applyProtection="1">
      <protection locked="0"/>
    </xf>
    <xf numFmtId="0" fontId="11" fillId="4" borderId="1" xfId="4" applyFont="1" applyFill="1" applyBorder="1" applyAlignment="1" applyProtection="1">
      <alignment horizontal="center" vertical="center"/>
      <protection locked="0"/>
    </xf>
    <xf numFmtId="1" fontId="11" fillId="4" borderId="1" xfId="4" applyNumberFormat="1" applyFont="1" applyFill="1" applyBorder="1" applyAlignment="1" applyProtection="1">
      <alignment horizontal="center" vertical="center" wrapText="1"/>
      <protection locked="0"/>
    </xf>
    <xf numFmtId="1" fontId="12" fillId="4" borderId="1" xfId="4" applyNumberFormat="1" applyFont="1" applyFill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 applyProtection="1">
      <alignment horizontal="left" vertical="center"/>
    </xf>
    <xf numFmtId="43" fontId="13" fillId="5" borderId="3" xfId="1" applyFont="1" applyFill="1" applyBorder="1" applyAlignment="1" applyProtection="1">
      <alignment horizontal="right" vertical="center"/>
    </xf>
    <xf numFmtId="9" fontId="13" fillId="5" borderId="4" xfId="3" applyFont="1" applyFill="1" applyBorder="1" applyAlignment="1" applyProtection="1">
      <alignment horizontal="right" vertical="center"/>
    </xf>
    <xf numFmtId="0" fontId="14" fillId="0" borderId="5" xfId="0" applyFont="1" applyBorder="1" applyAlignment="1" applyProtection="1">
      <alignment horizontal="left" vertical="center" indent="2"/>
    </xf>
    <xf numFmtId="43" fontId="15" fillId="0" borderId="6" xfId="1" applyFont="1" applyFill="1" applyBorder="1" applyAlignment="1" applyProtection="1">
      <alignment horizontal="right" vertical="center"/>
    </xf>
    <xf numFmtId="9" fontId="15" fillId="0" borderId="7" xfId="3" applyFont="1" applyFill="1" applyBorder="1" applyAlignment="1" applyProtection="1">
      <alignment horizontal="right" vertical="center"/>
    </xf>
    <xf numFmtId="43" fontId="15" fillId="6" borderId="6" xfId="1" applyFont="1" applyFill="1" applyBorder="1" applyAlignment="1" applyProtection="1">
      <alignment horizontal="right" vertical="center"/>
      <protection locked="0"/>
    </xf>
    <xf numFmtId="0" fontId="14" fillId="0" borderId="5" xfId="0" applyFont="1" applyBorder="1" applyAlignment="1" applyProtection="1">
      <alignment horizontal="left" vertical="center" indent="4"/>
    </xf>
    <xf numFmtId="0" fontId="15" fillId="0" borderId="5" xfId="0" applyFont="1" applyBorder="1" applyAlignment="1" applyProtection="1">
      <alignment horizontal="left" vertical="center" indent="6"/>
    </xf>
    <xf numFmtId="0" fontId="15" fillId="0" borderId="5" xfId="0" applyFont="1" applyBorder="1" applyAlignment="1" applyProtection="1">
      <alignment horizontal="left" vertical="center" indent="4"/>
    </xf>
    <xf numFmtId="164" fontId="15" fillId="6" borderId="6" xfId="1" applyNumberFormat="1" applyFont="1" applyFill="1" applyBorder="1" applyAlignment="1" applyProtection="1">
      <alignment horizontal="right" vertical="center"/>
      <protection locked="0"/>
    </xf>
    <xf numFmtId="164" fontId="15" fillId="6" borderId="6" xfId="1" quotePrefix="1" applyNumberFormat="1" applyFont="1" applyFill="1" applyBorder="1" applyAlignment="1" applyProtection="1">
      <alignment horizontal="right" vertical="center"/>
      <protection locked="0"/>
    </xf>
    <xf numFmtId="0" fontId="15" fillId="0" borderId="5" xfId="0" applyFont="1" applyBorder="1" applyAlignment="1" applyProtection="1">
      <alignment horizontal="left" vertical="center" indent="2"/>
    </xf>
    <xf numFmtId="43" fontId="15" fillId="0" borderId="6" xfId="1" applyFont="1" applyFill="1" applyBorder="1" applyAlignment="1" applyProtection="1">
      <alignment horizontal="right" vertical="center"/>
      <protection locked="0"/>
    </xf>
    <xf numFmtId="43" fontId="15" fillId="0" borderId="8" xfId="1" applyFont="1" applyFill="1" applyBorder="1" applyAlignment="1" applyProtection="1">
      <alignment horizontal="right" vertical="center"/>
      <protection locked="0"/>
    </xf>
    <xf numFmtId="165" fontId="16" fillId="0" borderId="7" xfId="1" applyNumberFormat="1" applyFont="1" applyFill="1" applyBorder="1" applyAlignment="1" applyProtection="1">
      <alignment horizontal="right" vertical="center"/>
    </xf>
    <xf numFmtId="0" fontId="6" fillId="5" borderId="5" xfId="0" applyFont="1" applyFill="1" applyBorder="1" applyAlignment="1" applyProtection="1">
      <alignment horizontal="left" vertical="center"/>
    </xf>
    <xf numFmtId="43" fontId="13" fillId="5" borderId="6" xfId="1" applyFont="1" applyFill="1" applyBorder="1" applyAlignment="1" applyProtection="1">
      <alignment horizontal="right" vertical="center"/>
    </xf>
    <xf numFmtId="43" fontId="13" fillId="0" borderId="6" xfId="1" applyFont="1" applyFill="1" applyBorder="1" applyAlignment="1" applyProtection="1">
      <alignment horizontal="right" vertical="center"/>
    </xf>
    <xf numFmtId="43" fontId="15" fillId="7" borderId="6" xfId="1" applyFont="1" applyFill="1" applyBorder="1" applyAlignment="1" applyProtection="1">
      <alignment horizontal="right" vertical="center"/>
    </xf>
    <xf numFmtId="0" fontId="17" fillId="5" borderId="5" xfId="0" applyFont="1" applyFill="1" applyBorder="1" applyAlignment="1" applyProtection="1">
      <alignment horizontal="right" vertical="center"/>
    </xf>
    <xf numFmtId="0" fontId="15" fillId="8" borderId="9" xfId="0" applyFont="1" applyFill="1" applyBorder="1" applyAlignment="1" applyProtection="1">
      <alignment horizontal="left" vertical="center" indent="2"/>
    </xf>
    <xf numFmtId="43" fontId="15" fillId="8" borderId="10" xfId="1" applyFont="1" applyFill="1" applyBorder="1" applyAlignment="1" applyProtection="1">
      <alignment horizontal="right" vertical="center"/>
      <protection locked="0"/>
    </xf>
    <xf numFmtId="43" fontId="15" fillId="8" borderId="6" xfId="1" applyFont="1" applyFill="1" applyBorder="1" applyAlignment="1" applyProtection="1">
      <alignment horizontal="right" vertical="center"/>
    </xf>
    <xf numFmtId="9" fontId="15" fillId="8" borderId="7" xfId="3" applyFont="1" applyFill="1" applyBorder="1" applyAlignment="1" applyProtection="1">
      <alignment horizontal="right" vertical="center"/>
    </xf>
    <xf numFmtId="0" fontId="0" fillId="8" borderId="0" xfId="0" applyFill="1" applyProtection="1">
      <protection locked="0"/>
    </xf>
    <xf numFmtId="0" fontId="15" fillId="0" borderId="11" xfId="0" applyFont="1" applyBorder="1" applyAlignment="1" applyProtection="1">
      <alignment horizontal="left" vertical="center"/>
    </xf>
    <xf numFmtId="43" fontId="15" fillId="0" borderId="11" xfId="1" applyFont="1" applyFill="1" applyBorder="1" applyAlignment="1" applyProtection="1">
      <alignment horizontal="right" vertical="center"/>
      <protection locked="0"/>
    </xf>
    <xf numFmtId="9" fontId="15" fillId="0" borderId="12" xfId="3" applyFont="1" applyFill="1" applyBorder="1" applyAlignment="1" applyProtection="1">
      <alignment horizontal="right" vertical="center"/>
      <protection locked="0"/>
    </xf>
    <xf numFmtId="43" fontId="15" fillId="6" borderId="3" xfId="1" applyFont="1" applyFill="1" applyBorder="1" applyAlignment="1" applyProtection="1">
      <alignment horizontal="right" vertical="center"/>
      <protection locked="0"/>
    </xf>
    <xf numFmtId="43" fontId="15" fillId="0" borderId="3" xfId="1" applyFont="1" applyFill="1" applyBorder="1" applyAlignment="1" applyProtection="1">
      <alignment horizontal="right" vertical="center"/>
    </xf>
    <xf numFmtId="43" fontId="15" fillId="0" borderId="3" xfId="1" applyFont="1" applyFill="1" applyBorder="1" applyAlignment="1" applyProtection="1">
      <alignment horizontal="right" vertical="center"/>
      <protection locked="0"/>
    </xf>
    <xf numFmtId="9" fontId="15" fillId="0" borderId="4" xfId="3" applyFont="1" applyFill="1" applyBorder="1" applyAlignment="1" applyProtection="1">
      <alignment horizontal="right" vertical="center"/>
      <protection locked="0"/>
    </xf>
    <xf numFmtId="0" fontId="6" fillId="5" borderId="9" xfId="0" applyFont="1" applyFill="1" applyBorder="1" applyAlignment="1" applyProtection="1">
      <alignment horizontal="left" vertical="center"/>
    </xf>
    <xf numFmtId="43" fontId="15" fillId="6" borderId="10" xfId="1" applyFont="1" applyFill="1" applyBorder="1" applyAlignment="1" applyProtection="1">
      <alignment horizontal="right" vertical="center"/>
      <protection locked="0"/>
    </xf>
    <xf numFmtId="43" fontId="15" fillId="0" borderId="10" xfId="1" applyFont="1" applyFill="1" applyBorder="1" applyAlignment="1" applyProtection="1">
      <alignment horizontal="right" vertical="center"/>
    </xf>
    <xf numFmtId="0" fontId="15" fillId="0" borderId="13" xfId="0" applyFont="1" applyBorder="1" applyAlignment="1" applyProtection="1">
      <alignment horizontal="left" vertical="center"/>
    </xf>
    <xf numFmtId="9" fontId="15" fillId="0" borderId="14" xfId="3" applyFont="1" applyFill="1" applyBorder="1" applyAlignment="1" applyProtection="1">
      <alignment horizontal="right" vertical="center"/>
      <protection locked="0"/>
    </xf>
    <xf numFmtId="43" fontId="13" fillId="5" borderId="3" xfId="1" applyFont="1" applyFill="1" applyBorder="1" applyAlignment="1" applyProtection="1">
      <alignment horizontal="right" vertical="center"/>
      <protection locked="0"/>
    </xf>
    <xf numFmtId="9" fontId="13" fillId="5" borderId="4" xfId="3" applyFont="1" applyFill="1" applyBorder="1" applyAlignment="1" applyProtection="1">
      <alignment horizontal="right" vertical="center"/>
      <protection locked="0"/>
    </xf>
    <xf numFmtId="9" fontId="15" fillId="0" borderId="7" xfId="3" applyFont="1" applyFill="1" applyBorder="1" applyAlignment="1" applyProtection="1">
      <alignment horizontal="right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43" fontId="13" fillId="6" borderId="6" xfId="1" applyFont="1" applyFill="1" applyBorder="1" applyAlignment="1" applyProtection="1">
      <alignment horizontal="right" vertical="center"/>
      <protection locked="0"/>
    </xf>
    <xf numFmtId="43" fontId="13" fillId="5" borderId="6" xfId="1" applyFont="1" applyFill="1" applyBorder="1" applyAlignment="1" applyProtection="1">
      <alignment horizontal="right" vertical="center"/>
      <protection locked="0"/>
    </xf>
    <xf numFmtId="9" fontId="13" fillId="5" borderId="7" xfId="3" applyFont="1" applyFill="1" applyBorder="1" applyAlignment="1" applyProtection="1">
      <alignment horizontal="right" vertical="center"/>
      <protection locked="0"/>
    </xf>
    <xf numFmtId="0" fontId="15" fillId="0" borderId="5" xfId="0" applyFont="1" applyBorder="1" applyAlignment="1" applyProtection="1">
      <alignment horizontal="left" vertical="center"/>
    </xf>
    <xf numFmtId="8" fontId="15" fillId="6" borderId="6" xfId="1" applyNumberFormat="1" applyFont="1" applyFill="1" applyBorder="1" applyAlignment="1" applyProtection="1">
      <alignment horizontal="right" vertical="center"/>
      <protection locked="0"/>
    </xf>
    <xf numFmtId="43" fontId="13" fillId="0" borderId="6" xfId="1" applyFont="1" applyFill="1" applyBorder="1" applyAlignment="1" applyProtection="1">
      <alignment horizontal="right" vertical="center"/>
      <protection locked="0"/>
    </xf>
    <xf numFmtId="0" fontId="15" fillId="5" borderId="5" xfId="0" applyFont="1" applyFill="1" applyBorder="1" applyAlignment="1" applyProtection="1">
      <alignment horizontal="left" vertical="center" indent="2"/>
    </xf>
    <xf numFmtId="43" fontId="15" fillId="5" borderId="6" xfId="1" applyFont="1" applyFill="1" applyBorder="1" applyAlignment="1" applyProtection="1">
      <alignment horizontal="right" vertical="center"/>
      <protection locked="0"/>
    </xf>
    <xf numFmtId="43" fontId="15" fillId="5" borderId="6" xfId="1" applyFont="1" applyFill="1" applyBorder="1" applyAlignment="1" applyProtection="1">
      <alignment horizontal="right" vertical="center"/>
    </xf>
    <xf numFmtId="9" fontId="15" fillId="5" borderId="7" xfId="3" applyFont="1" applyFill="1" applyBorder="1" applyAlignment="1" applyProtection="1">
      <alignment horizontal="right" vertical="center"/>
      <protection locked="0"/>
    </xf>
    <xf numFmtId="0" fontId="13" fillId="0" borderId="5" xfId="0" applyFont="1" applyBorder="1" applyAlignment="1" applyProtection="1">
      <alignment horizontal="left" vertical="center"/>
    </xf>
    <xf numFmtId="165" fontId="15" fillId="0" borderId="6" xfId="1" applyNumberFormat="1" applyFont="1" applyFill="1" applyBorder="1" applyAlignment="1" applyProtection="1">
      <alignment horizontal="right" vertical="center"/>
      <protection locked="0"/>
    </xf>
    <xf numFmtId="165" fontId="13" fillId="5" borderId="6" xfId="1" applyNumberFormat="1" applyFont="1" applyFill="1" applyBorder="1" applyAlignment="1" applyProtection="1">
      <alignment horizontal="right" vertical="center"/>
    </xf>
    <xf numFmtId="165" fontId="13" fillId="5" borderId="6" xfId="1" applyNumberFormat="1" applyFont="1" applyFill="1" applyBorder="1" applyAlignment="1" applyProtection="1">
      <alignment horizontal="right" vertical="center"/>
      <protection locked="0"/>
    </xf>
    <xf numFmtId="0" fontId="13" fillId="0" borderId="5" xfId="0" applyFont="1" applyBorder="1" applyAlignment="1" applyProtection="1">
      <alignment horizontal="left" vertical="center" indent="2"/>
    </xf>
    <xf numFmtId="165" fontId="13" fillId="0" borderId="6" xfId="1" applyNumberFormat="1" applyFont="1" applyFill="1" applyBorder="1" applyAlignment="1" applyProtection="1">
      <alignment horizontal="right" vertical="center"/>
    </xf>
    <xf numFmtId="165" fontId="13" fillId="0" borderId="6" xfId="1" applyNumberFormat="1" applyFont="1" applyFill="1" applyBorder="1" applyAlignment="1" applyProtection="1">
      <alignment horizontal="right" vertical="center"/>
      <protection locked="0"/>
    </xf>
    <xf numFmtId="9" fontId="13" fillId="0" borderId="7" xfId="3" applyFont="1" applyFill="1" applyBorder="1" applyAlignment="1" applyProtection="1">
      <alignment horizontal="right" vertical="center"/>
      <protection locked="0"/>
    </xf>
    <xf numFmtId="165" fontId="15" fillId="6" borderId="6" xfId="1" applyNumberFormat="1" applyFont="1" applyFill="1" applyBorder="1" applyAlignment="1" applyProtection="1">
      <alignment horizontal="right" vertical="center"/>
      <protection locked="0"/>
    </xf>
    <xf numFmtId="3" fontId="15" fillId="6" borderId="6" xfId="1" applyNumberFormat="1" applyFont="1" applyFill="1" applyBorder="1" applyAlignment="1" applyProtection="1">
      <alignment horizontal="right" vertical="center"/>
      <protection locked="0"/>
    </xf>
    <xf numFmtId="165" fontId="13" fillId="6" borderId="6" xfId="1" applyNumberFormat="1" applyFont="1" applyFill="1" applyBorder="1" applyAlignment="1" applyProtection="1">
      <alignment horizontal="right" vertical="center"/>
      <protection locked="0"/>
    </xf>
    <xf numFmtId="0" fontId="6" fillId="0" borderId="5" xfId="0" applyFont="1" applyBorder="1" applyAlignment="1" applyProtection="1">
      <alignment horizontal="left" vertical="center"/>
    </xf>
    <xf numFmtId="44" fontId="15" fillId="6" borderId="6" xfId="2" applyFont="1" applyFill="1" applyBorder="1" applyAlignment="1" applyProtection="1">
      <alignment horizontal="right" vertical="center"/>
      <protection locked="0"/>
    </xf>
    <xf numFmtId="0" fontId="6" fillId="9" borderId="5" xfId="0" applyFont="1" applyFill="1" applyBorder="1" applyAlignment="1" applyProtection="1">
      <alignment horizontal="left" vertical="center" indent="2"/>
    </xf>
    <xf numFmtId="43" fontId="15" fillId="9" borderId="6" xfId="1" applyFont="1" applyFill="1" applyBorder="1" applyAlignment="1" applyProtection="1">
      <alignment horizontal="right" vertical="center"/>
    </xf>
    <xf numFmtId="0" fontId="13" fillId="9" borderId="5" xfId="0" applyFont="1" applyFill="1" applyBorder="1" applyAlignment="1" applyProtection="1">
      <alignment horizontal="left" vertical="center" indent="2"/>
    </xf>
    <xf numFmtId="43" fontId="15" fillId="9" borderId="6" xfId="1" applyFont="1" applyFill="1" applyBorder="1" applyAlignment="1" applyProtection="1">
      <alignment horizontal="right" vertical="center"/>
      <protection locked="0"/>
    </xf>
    <xf numFmtId="0" fontId="6" fillId="9" borderId="5" xfId="0" applyFont="1" applyFill="1" applyBorder="1" applyAlignment="1" applyProtection="1">
      <alignment horizontal="left" vertical="center"/>
    </xf>
    <xf numFmtId="165" fontId="13" fillId="9" borderId="6" xfId="1" applyNumberFormat="1" applyFont="1" applyFill="1" applyBorder="1" applyAlignment="1" applyProtection="1">
      <alignment horizontal="right" vertical="center"/>
      <protection locked="0"/>
    </xf>
    <xf numFmtId="43" fontId="13" fillId="9" borderId="6" xfId="1" applyFont="1" applyFill="1" applyBorder="1" applyAlignment="1" applyProtection="1">
      <alignment horizontal="right" vertical="center"/>
      <protection locked="0"/>
    </xf>
    <xf numFmtId="9" fontId="15" fillId="0" borderId="6" xfId="3" applyFont="1" applyFill="1" applyBorder="1" applyAlignment="1" applyProtection="1">
      <alignment horizontal="right" vertical="center"/>
    </xf>
    <xf numFmtId="9" fontId="15" fillId="0" borderId="6" xfId="3" applyFont="1" applyFill="1" applyBorder="1" applyAlignment="1" applyProtection="1">
      <alignment horizontal="right" vertical="center"/>
      <protection locked="0"/>
    </xf>
    <xf numFmtId="43" fontId="15" fillId="6" borderId="6" xfId="1" applyNumberFormat="1" applyFont="1" applyFill="1" applyBorder="1" applyAlignment="1" applyProtection="1">
      <alignment horizontal="right" vertical="center"/>
      <protection locked="0"/>
    </xf>
    <xf numFmtId="166" fontId="15" fillId="6" borderId="6" xfId="1" applyNumberFormat="1" applyFont="1" applyFill="1" applyBorder="1" applyAlignment="1" applyProtection="1">
      <alignment horizontal="right" vertical="center"/>
      <protection locked="0"/>
    </xf>
    <xf numFmtId="165" fontId="15" fillId="0" borderId="6" xfId="1" applyNumberFormat="1" applyFont="1" applyFill="1" applyBorder="1" applyAlignment="1" applyProtection="1">
      <alignment horizontal="right" vertical="center"/>
    </xf>
    <xf numFmtId="166" fontId="15" fillId="0" borderId="6" xfId="1" applyNumberFormat="1" applyFont="1" applyFill="1" applyBorder="1" applyAlignment="1" applyProtection="1">
      <alignment horizontal="right" vertical="center"/>
    </xf>
    <xf numFmtId="0" fontId="15" fillId="0" borderId="5" xfId="0" applyFont="1" applyFill="1" applyBorder="1" applyAlignment="1" applyProtection="1">
      <alignment horizontal="left" vertical="center" indent="4"/>
    </xf>
    <xf numFmtId="0" fontId="0" fillId="0" borderId="0" xfId="0" applyFill="1" applyProtection="1">
      <protection locked="0"/>
    </xf>
    <xf numFmtId="0" fontId="15" fillId="0" borderId="5" xfId="0" applyFont="1" applyFill="1" applyBorder="1" applyAlignment="1" applyProtection="1">
      <alignment horizontal="left" vertical="center" indent="2"/>
    </xf>
    <xf numFmtId="0" fontId="15" fillId="0" borderId="9" xfId="0" applyFont="1" applyBorder="1" applyAlignment="1" applyProtection="1">
      <alignment horizontal="left" vertical="center"/>
    </xf>
    <xf numFmtId="165" fontId="15" fillId="6" borderId="10" xfId="1" applyNumberFormat="1" applyFont="1" applyFill="1" applyBorder="1" applyAlignment="1" applyProtection="1">
      <alignment horizontal="right" vertical="center"/>
      <protection locked="0"/>
    </xf>
    <xf numFmtId="165" fontId="15" fillId="0" borderId="10" xfId="1" applyNumberFormat="1" applyFont="1" applyFill="1" applyBorder="1" applyAlignment="1" applyProtection="1">
      <alignment horizontal="right" vertical="center"/>
      <protection locked="0"/>
    </xf>
    <xf numFmtId="43" fontId="15" fillId="0" borderId="10" xfId="1" applyFont="1" applyFill="1" applyBorder="1" applyAlignment="1" applyProtection="1">
      <alignment horizontal="right" vertical="center"/>
      <protection locked="0"/>
    </xf>
    <xf numFmtId="9" fontId="15" fillId="0" borderId="15" xfId="3" applyFont="1" applyFill="1" applyBorder="1" applyAlignment="1" applyProtection="1">
      <alignment horizontal="right" vertical="center"/>
      <protection locked="0"/>
    </xf>
    <xf numFmtId="165" fontId="4" fillId="0" borderId="0" xfId="4" applyNumberFormat="1" applyFont="1" applyProtection="1">
      <protection locked="0"/>
    </xf>
    <xf numFmtId="1" fontId="2" fillId="2" borderId="0" xfId="0" applyNumberFormat="1" applyFont="1" applyFill="1" applyAlignment="1" applyProtection="1">
      <alignment horizontal="center"/>
      <protection locked="0"/>
    </xf>
    <xf numFmtId="1" fontId="5" fillId="2" borderId="0" xfId="4" applyNumberFormat="1" applyFont="1" applyFill="1" applyAlignment="1" applyProtection="1">
      <alignment horizontal="center"/>
      <protection locked="0"/>
    </xf>
    <xf numFmtId="1" fontId="6" fillId="2" borderId="0" xfId="4" applyNumberFormat="1" applyFont="1" applyFill="1" applyAlignment="1" applyProtection="1">
      <alignment horizontal="center"/>
      <protection locked="0"/>
    </xf>
    <xf numFmtId="1" fontId="7" fillId="3" borderId="0" xfId="4" applyNumberFormat="1" applyFont="1" applyFill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Protection="1">
      <protection locked="0"/>
    </xf>
  </cellXfs>
  <cellStyles count="64">
    <cellStyle name="Comma 2" xfId="5"/>
    <cellStyle name="Euro" xfId="6"/>
    <cellStyle name="Hipervínculo 2" xfId="7"/>
    <cellStyle name="Hipervínculo_5% DE MZO.2005" xfId="8"/>
    <cellStyle name="Millares" xfId="1" builtinId="3"/>
    <cellStyle name="Millares [0] 2" xfId="9"/>
    <cellStyle name="Millares 2" xfId="10"/>
    <cellStyle name="Millares 2 2" xfId="11"/>
    <cellStyle name="Millares 2 2 2" xfId="12"/>
    <cellStyle name="Millares 2 2 2 2" xfId="13"/>
    <cellStyle name="Millares 2 3" xfId="14"/>
    <cellStyle name="Millares 2 3 2" xfId="15"/>
    <cellStyle name="Millares 3" xfId="16"/>
    <cellStyle name="Millares 3 2" xfId="17"/>
    <cellStyle name="Millares 4" xfId="18"/>
    <cellStyle name="Millares 4 2" xfId="19"/>
    <cellStyle name="Millares 5" xfId="20"/>
    <cellStyle name="Millares 6" xfId="21"/>
    <cellStyle name="Millares 8" xfId="22"/>
    <cellStyle name="Moneda" xfId="2" builtinId="4"/>
    <cellStyle name="Moneda [0] 2" xfId="23"/>
    <cellStyle name="Moneda 2" xfId="24"/>
    <cellStyle name="Moneda 2 2" xfId="25"/>
    <cellStyle name="Moneda 3" xfId="26"/>
    <cellStyle name="Moneda 4" xfId="27"/>
    <cellStyle name="Moneda 6" xfId="28"/>
    <cellStyle name="Normal" xfId="0" builtinId="0"/>
    <cellStyle name="Normal 10" xfId="29"/>
    <cellStyle name="Normal 11" xfId="30"/>
    <cellStyle name="Normal 11 2" xfId="31"/>
    <cellStyle name="Normal 12" xfId="32"/>
    <cellStyle name="Normal 13" xfId="33"/>
    <cellStyle name="Normal 14" xfId="34"/>
    <cellStyle name="Normal 14 2" xfId="35"/>
    <cellStyle name="Normal 14 2 2" xfId="36"/>
    <cellStyle name="Normal 15" xfId="37"/>
    <cellStyle name="Normal 16" xfId="38"/>
    <cellStyle name="Normal 17" xfId="39"/>
    <cellStyle name="Normal 18" xfId="40"/>
    <cellStyle name="Normal 19" xfId="41"/>
    <cellStyle name="Normal 2" xfId="42"/>
    <cellStyle name="Normal 2 2" xfId="43"/>
    <cellStyle name="Normal 2_ALDAMA 03 MAR 2009 MODIF" xfId="44"/>
    <cellStyle name="Normal 20" xfId="45"/>
    <cellStyle name="Normal 20 2" xfId="46"/>
    <cellStyle name="Normal 21" xfId="47"/>
    <cellStyle name="Normal 3" xfId="48"/>
    <cellStyle name="Normal 3 2" xfId="49"/>
    <cellStyle name="Normal 4" xfId="50"/>
    <cellStyle name="Normal 5" xfId="51"/>
    <cellStyle name="Normal 6" xfId="52"/>
    <cellStyle name="Normal 7" xfId="53"/>
    <cellStyle name="Normal 8" xfId="54"/>
    <cellStyle name="Normal 9" xfId="55"/>
    <cellStyle name="Normal_FORMATO DEL PPTO. 2002  SEPT. 4" xfId="4"/>
    <cellStyle name="Numero" xfId="56"/>
    <cellStyle name="Porcentaje" xfId="3" builtinId="5"/>
    <cellStyle name="Porcentaje 2" xfId="57"/>
    <cellStyle name="Porcentaje 2 2" xfId="58"/>
    <cellStyle name="Porcentaje 3" xfId="59"/>
    <cellStyle name="Porcentaje 4" xfId="60"/>
    <cellStyle name="Porcentual 2" xfId="61"/>
    <cellStyle name="Porcentual 2 2" xfId="62"/>
    <cellStyle name="Porcentual 3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ESUPUESTO%202011%20JMAS%20CHIHUAHUAvint.RESUMEN%20PARA%20CAPTURA%20SIST%20CONTA%20ING%20VILLALBAx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\Layouts%20JC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Parametros"/>
      <sheetName val="Inflación"/>
      <sheetName val="Efic. Global "/>
      <sheetName val="C.N.A."/>
      <sheetName val="Evaluacion"/>
      <sheetName val="Total ctas."/>
      <sheetName val="Concen."/>
      <sheetName val="Edo. Activ."/>
      <sheetName val="Fac-cob"/>
      <sheetName val="RESUMEN GASTOS"/>
      <sheetName val="Gastos de Admin."/>
      <sheetName val="Gastos de Comer."/>
      <sheetName val="Gastos de Oper."/>
      <sheetName val="Gastos de Saneam."/>
      <sheetName val="Inversiones"/>
      <sheetName val="Creditos"/>
      <sheetName val="Ingresos"/>
      <sheetName val="Serv. Med. Dom"/>
      <sheetName val="Tarifas serv med Dom"/>
      <sheetName val="Serv. Med. Com"/>
      <sheetName val="Tarifas serv med Com"/>
      <sheetName val="Serv. Med. ind"/>
      <sheetName val="Tarifas serv med ind"/>
      <sheetName val="Serv. Med. Esc"/>
      <sheetName val="Serv. Med. Pub"/>
      <sheetName val="Cuota fija"/>
      <sheetName val="Estructura"/>
      <sheetName val="Sueldo(Pl-Ad)"/>
      <sheetName val="Sueldo(Ev-Ad)"/>
      <sheetName val="Sueldo(Pl-Co)"/>
      <sheetName val="Sueldo(Ev-Co)"/>
      <sheetName val="Sueldo(Pl-Op)"/>
      <sheetName val="Sueldo(Ev-Op)"/>
      <sheetName val="Sueldo(Pl-Pt)"/>
      <sheetName val="Sueldo(Ev-Pt)"/>
      <sheetName val="Sueldo(Pensi)"/>
      <sheetName val="C.F.E."/>
      <sheetName val="Personal"/>
      <sheetName val="Activos U"/>
      <sheetName val="Activos $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34">
          <cell r="H234">
            <v>152009798.40846276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ciones y Catalogos"/>
      <sheetName val="(1) Eficiencia Comercial"/>
      <sheetName val="(2) Eficiencia de Cobro"/>
      <sheetName val="(3) Eficiencia Fisica 1"/>
      <sheetName val="(4) Eficiencia Fisica 2"/>
      <sheetName val="(6) Usuarios Pagos a Tiempo"/>
      <sheetName val="(7) Empleados por cada mil toma"/>
      <sheetName val="(13) Reportes cada mil tomas"/>
      <sheetName val="(14) Emplados cada mil tomas SJ"/>
      <sheetName val="Layouts JC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90"/>
  <sheetViews>
    <sheetView tabSelected="1" topLeftCell="A7" zoomScale="90" zoomScaleNormal="90" workbookViewId="0">
      <pane xSplit="1" ySplit="3" topLeftCell="B166" activePane="bottomRight" state="frozen"/>
      <selection activeCell="A7" sqref="A7"/>
      <selection pane="topRight" activeCell="B7" sqref="B7"/>
      <selection pane="bottomLeft" activeCell="A10" sqref="A10"/>
      <selection pane="bottomRight" activeCell="D189" sqref="D189"/>
    </sheetView>
  </sheetViews>
  <sheetFormatPr baseColWidth="10" defaultRowHeight="15" x14ac:dyDescent="0.25"/>
  <cols>
    <col min="1" max="1" width="74.140625" style="8" customWidth="1"/>
    <col min="2" max="2" width="19.7109375" style="8" customWidth="1"/>
    <col min="3" max="13" width="18.140625" style="8" customWidth="1"/>
    <col min="14" max="14" width="19.42578125" style="8" bestFit="1" customWidth="1"/>
    <col min="15" max="15" width="21" style="8" customWidth="1"/>
    <col min="16" max="16" width="19.5703125" style="8" customWidth="1"/>
    <col min="17" max="17" width="19.85546875" style="8" customWidth="1"/>
    <col min="18" max="18" width="11.42578125" style="8"/>
    <col min="19" max="257" width="11.42578125" style="1"/>
    <col min="258" max="258" width="71.28515625" style="1" bestFit="1" customWidth="1"/>
    <col min="259" max="260" width="15.5703125" style="1" bestFit="1" customWidth="1"/>
    <col min="261" max="271" width="11.42578125" style="1"/>
    <col min="272" max="272" width="14.85546875" style="1" customWidth="1"/>
    <col min="273" max="273" width="14.5703125" style="1" customWidth="1"/>
    <col min="274" max="513" width="11.42578125" style="1"/>
    <col min="514" max="514" width="71.28515625" style="1" bestFit="1" customWidth="1"/>
    <col min="515" max="516" width="15.5703125" style="1" bestFit="1" customWidth="1"/>
    <col min="517" max="527" width="11.42578125" style="1"/>
    <col min="528" max="528" width="14.85546875" style="1" customWidth="1"/>
    <col min="529" max="529" width="14.5703125" style="1" customWidth="1"/>
    <col min="530" max="769" width="11.42578125" style="1"/>
    <col min="770" max="770" width="71.28515625" style="1" bestFit="1" customWidth="1"/>
    <col min="771" max="772" width="15.5703125" style="1" bestFit="1" customWidth="1"/>
    <col min="773" max="783" width="11.42578125" style="1"/>
    <col min="784" max="784" width="14.85546875" style="1" customWidth="1"/>
    <col min="785" max="785" width="14.5703125" style="1" customWidth="1"/>
    <col min="786" max="1025" width="11.42578125" style="1"/>
    <col min="1026" max="1026" width="71.28515625" style="1" bestFit="1" customWidth="1"/>
    <col min="1027" max="1028" width="15.5703125" style="1" bestFit="1" customWidth="1"/>
    <col min="1029" max="1039" width="11.42578125" style="1"/>
    <col min="1040" max="1040" width="14.85546875" style="1" customWidth="1"/>
    <col min="1041" max="1041" width="14.5703125" style="1" customWidth="1"/>
    <col min="1042" max="1281" width="11.42578125" style="1"/>
    <col min="1282" max="1282" width="71.28515625" style="1" bestFit="1" customWidth="1"/>
    <col min="1283" max="1284" width="15.5703125" style="1" bestFit="1" customWidth="1"/>
    <col min="1285" max="1295" width="11.42578125" style="1"/>
    <col min="1296" max="1296" width="14.85546875" style="1" customWidth="1"/>
    <col min="1297" max="1297" width="14.5703125" style="1" customWidth="1"/>
    <col min="1298" max="1537" width="11.42578125" style="1"/>
    <col min="1538" max="1538" width="71.28515625" style="1" bestFit="1" customWidth="1"/>
    <col min="1539" max="1540" width="15.5703125" style="1" bestFit="1" customWidth="1"/>
    <col min="1541" max="1551" width="11.42578125" style="1"/>
    <col min="1552" max="1552" width="14.85546875" style="1" customWidth="1"/>
    <col min="1553" max="1553" width="14.5703125" style="1" customWidth="1"/>
    <col min="1554" max="1793" width="11.42578125" style="1"/>
    <col min="1794" max="1794" width="71.28515625" style="1" bestFit="1" customWidth="1"/>
    <col min="1795" max="1796" width="15.5703125" style="1" bestFit="1" customWidth="1"/>
    <col min="1797" max="1807" width="11.42578125" style="1"/>
    <col min="1808" max="1808" width="14.85546875" style="1" customWidth="1"/>
    <col min="1809" max="1809" width="14.5703125" style="1" customWidth="1"/>
    <col min="1810" max="2049" width="11.42578125" style="1"/>
    <col min="2050" max="2050" width="71.28515625" style="1" bestFit="1" customWidth="1"/>
    <col min="2051" max="2052" width="15.5703125" style="1" bestFit="1" customWidth="1"/>
    <col min="2053" max="2063" width="11.42578125" style="1"/>
    <col min="2064" max="2064" width="14.85546875" style="1" customWidth="1"/>
    <col min="2065" max="2065" width="14.5703125" style="1" customWidth="1"/>
    <col min="2066" max="2305" width="11.42578125" style="1"/>
    <col min="2306" max="2306" width="71.28515625" style="1" bestFit="1" customWidth="1"/>
    <col min="2307" max="2308" width="15.5703125" style="1" bestFit="1" customWidth="1"/>
    <col min="2309" max="2319" width="11.42578125" style="1"/>
    <col min="2320" max="2320" width="14.85546875" style="1" customWidth="1"/>
    <col min="2321" max="2321" width="14.5703125" style="1" customWidth="1"/>
    <col min="2322" max="2561" width="11.42578125" style="1"/>
    <col min="2562" max="2562" width="71.28515625" style="1" bestFit="1" customWidth="1"/>
    <col min="2563" max="2564" width="15.5703125" style="1" bestFit="1" customWidth="1"/>
    <col min="2565" max="2575" width="11.42578125" style="1"/>
    <col min="2576" max="2576" width="14.85546875" style="1" customWidth="1"/>
    <col min="2577" max="2577" width="14.5703125" style="1" customWidth="1"/>
    <col min="2578" max="2817" width="11.42578125" style="1"/>
    <col min="2818" max="2818" width="71.28515625" style="1" bestFit="1" customWidth="1"/>
    <col min="2819" max="2820" width="15.5703125" style="1" bestFit="1" customWidth="1"/>
    <col min="2821" max="2831" width="11.42578125" style="1"/>
    <col min="2832" max="2832" width="14.85546875" style="1" customWidth="1"/>
    <col min="2833" max="2833" width="14.5703125" style="1" customWidth="1"/>
    <col min="2834" max="3073" width="11.42578125" style="1"/>
    <col min="3074" max="3074" width="71.28515625" style="1" bestFit="1" customWidth="1"/>
    <col min="3075" max="3076" width="15.5703125" style="1" bestFit="1" customWidth="1"/>
    <col min="3077" max="3087" width="11.42578125" style="1"/>
    <col min="3088" max="3088" width="14.85546875" style="1" customWidth="1"/>
    <col min="3089" max="3089" width="14.5703125" style="1" customWidth="1"/>
    <col min="3090" max="3329" width="11.42578125" style="1"/>
    <col min="3330" max="3330" width="71.28515625" style="1" bestFit="1" customWidth="1"/>
    <col min="3331" max="3332" width="15.5703125" style="1" bestFit="1" customWidth="1"/>
    <col min="3333" max="3343" width="11.42578125" style="1"/>
    <col min="3344" max="3344" width="14.85546875" style="1" customWidth="1"/>
    <col min="3345" max="3345" width="14.5703125" style="1" customWidth="1"/>
    <col min="3346" max="3585" width="11.42578125" style="1"/>
    <col min="3586" max="3586" width="71.28515625" style="1" bestFit="1" customWidth="1"/>
    <col min="3587" max="3588" width="15.5703125" style="1" bestFit="1" customWidth="1"/>
    <col min="3589" max="3599" width="11.42578125" style="1"/>
    <col min="3600" max="3600" width="14.85546875" style="1" customWidth="1"/>
    <col min="3601" max="3601" width="14.5703125" style="1" customWidth="1"/>
    <col min="3602" max="3841" width="11.42578125" style="1"/>
    <col min="3842" max="3842" width="71.28515625" style="1" bestFit="1" customWidth="1"/>
    <col min="3843" max="3844" width="15.5703125" style="1" bestFit="1" customWidth="1"/>
    <col min="3845" max="3855" width="11.42578125" style="1"/>
    <col min="3856" max="3856" width="14.85546875" style="1" customWidth="1"/>
    <col min="3857" max="3857" width="14.5703125" style="1" customWidth="1"/>
    <col min="3858" max="4097" width="11.42578125" style="1"/>
    <col min="4098" max="4098" width="71.28515625" style="1" bestFit="1" customWidth="1"/>
    <col min="4099" max="4100" width="15.5703125" style="1" bestFit="1" customWidth="1"/>
    <col min="4101" max="4111" width="11.42578125" style="1"/>
    <col min="4112" max="4112" width="14.85546875" style="1" customWidth="1"/>
    <col min="4113" max="4113" width="14.5703125" style="1" customWidth="1"/>
    <col min="4114" max="4353" width="11.42578125" style="1"/>
    <col min="4354" max="4354" width="71.28515625" style="1" bestFit="1" customWidth="1"/>
    <col min="4355" max="4356" width="15.5703125" style="1" bestFit="1" customWidth="1"/>
    <col min="4357" max="4367" width="11.42578125" style="1"/>
    <col min="4368" max="4368" width="14.85546875" style="1" customWidth="1"/>
    <col min="4369" max="4369" width="14.5703125" style="1" customWidth="1"/>
    <col min="4370" max="4609" width="11.42578125" style="1"/>
    <col min="4610" max="4610" width="71.28515625" style="1" bestFit="1" customWidth="1"/>
    <col min="4611" max="4612" width="15.5703125" style="1" bestFit="1" customWidth="1"/>
    <col min="4613" max="4623" width="11.42578125" style="1"/>
    <col min="4624" max="4624" width="14.85546875" style="1" customWidth="1"/>
    <col min="4625" max="4625" width="14.5703125" style="1" customWidth="1"/>
    <col min="4626" max="4865" width="11.42578125" style="1"/>
    <col min="4866" max="4866" width="71.28515625" style="1" bestFit="1" customWidth="1"/>
    <col min="4867" max="4868" width="15.5703125" style="1" bestFit="1" customWidth="1"/>
    <col min="4869" max="4879" width="11.42578125" style="1"/>
    <col min="4880" max="4880" width="14.85546875" style="1" customWidth="1"/>
    <col min="4881" max="4881" width="14.5703125" style="1" customWidth="1"/>
    <col min="4882" max="5121" width="11.42578125" style="1"/>
    <col min="5122" max="5122" width="71.28515625" style="1" bestFit="1" customWidth="1"/>
    <col min="5123" max="5124" width="15.5703125" style="1" bestFit="1" customWidth="1"/>
    <col min="5125" max="5135" width="11.42578125" style="1"/>
    <col min="5136" max="5136" width="14.85546875" style="1" customWidth="1"/>
    <col min="5137" max="5137" width="14.5703125" style="1" customWidth="1"/>
    <col min="5138" max="5377" width="11.42578125" style="1"/>
    <col min="5378" max="5378" width="71.28515625" style="1" bestFit="1" customWidth="1"/>
    <col min="5379" max="5380" width="15.5703125" style="1" bestFit="1" customWidth="1"/>
    <col min="5381" max="5391" width="11.42578125" style="1"/>
    <col min="5392" max="5392" width="14.85546875" style="1" customWidth="1"/>
    <col min="5393" max="5393" width="14.5703125" style="1" customWidth="1"/>
    <col min="5394" max="5633" width="11.42578125" style="1"/>
    <col min="5634" max="5634" width="71.28515625" style="1" bestFit="1" customWidth="1"/>
    <col min="5635" max="5636" width="15.5703125" style="1" bestFit="1" customWidth="1"/>
    <col min="5637" max="5647" width="11.42578125" style="1"/>
    <col min="5648" max="5648" width="14.85546875" style="1" customWidth="1"/>
    <col min="5649" max="5649" width="14.5703125" style="1" customWidth="1"/>
    <col min="5650" max="5889" width="11.42578125" style="1"/>
    <col min="5890" max="5890" width="71.28515625" style="1" bestFit="1" customWidth="1"/>
    <col min="5891" max="5892" width="15.5703125" style="1" bestFit="1" customWidth="1"/>
    <col min="5893" max="5903" width="11.42578125" style="1"/>
    <col min="5904" max="5904" width="14.85546875" style="1" customWidth="1"/>
    <col min="5905" max="5905" width="14.5703125" style="1" customWidth="1"/>
    <col min="5906" max="6145" width="11.42578125" style="1"/>
    <col min="6146" max="6146" width="71.28515625" style="1" bestFit="1" customWidth="1"/>
    <col min="6147" max="6148" width="15.5703125" style="1" bestFit="1" customWidth="1"/>
    <col min="6149" max="6159" width="11.42578125" style="1"/>
    <col min="6160" max="6160" width="14.85546875" style="1" customWidth="1"/>
    <col min="6161" max="6161" width="14.5703125" style="1" customWidth="1"/>
    <col min="6162" max="6401" width="11.42578125" style="1"/>
    <col min="6402" max="6402" width="71.28515625" style="1" bestFit="1" customWidth="1"/>
    <col min="6403" max="6404" width="15.5703125" style="1" bestFit="1" customWidth="1"/>
    <col min="6405" max="6415" width="11.42578125" style="1"/>
    <col min="6416" max="6416" width="14.85546875" style="1" customWidth="1"/>
    <col min="6417" max="6417" width="14.5703125" style="1" customWidth="1"/>
    <col min="6418" max="6657" width="11.42578125" style="1"/>
    <col min="6658" max="6658" width="71.28515625" style="1" bestFit="1" customWidth="1"/>
    <col min="6659" max="6660" width="15.5703125" style="1" bestFit="1" customWidth="1"/>
    <col min="6661" max="6671" width="11.42578125" style="1"/>
    <col min="6672" max="6672" width="14.85546875" style="1" customWidth="1"/>
    <col min="6673" max="6673" width="14.5703125" style="1" customWidth="1"/>
    <col min="6674" max="6913" width="11.42578125" style="1"/>
    <col min="6914" max="6914" width="71.28515625" style="1" bestFit="1" customWidth="1"/>
    <col min="6915" max="6916" width="15.5703125" style="1" bestFit="1" customWidth="1"/>
    <col min="6917" max="6927" width="11.42578125" style="1"/>
    <col min="6928" max="6928" width="14.85546875" style="1" customWidth="1"/>
    <col min="6929" max="6929" width="14.5703125" style="1" customWidth="1"/>
    <col min="6930" max="7169" width="11.42578125" style="1"/>
    <col min="7170" max="7170" width="71.28515625" style="1" bestFit="1" customWidth="1"/>
    <col min="7171" max="7172" width="15.5703125" style="1" bestFit="1" customWidth="1"/>
    <col min="7173" max="7183" width="11.42578125" style="1"/>
    <col min="7184" max="7184" width="14.85546875" style="1" customWidth="1"/>
    <col min="7185" max="7185" width="14.5703125" style="1" customWidth="1"/>
    <col min="7186" max="7425" width="11.42578125" style="1"/>
    <col min="7426" max="7426" width="71.28515625" style="1" bestFit="1" customWidth="1"/>
    <col min="7427" max="7428" width="15.5703125" style="1" bestFit="1" customWidth="1"/>
    <col min="7429" max="7439" width="11.42578125" style="1"/>
    <col min="7440" max="7440" width="14.85546875" style="1" customWidth="1"/>
    <col min="7441" max="7441" width="14.5703125" style="1" customWidth="1"/>
    <col min="7442" max="7681" width="11.42578125" style="1"/>
    <col min="7682" max="7682" width="71.28515625" style="1" bestFit="1" customWidth="1"/>
    <col min="7683" max="7684" width="15.5703125" style="1" bestFit="1" customWidth="1"/>
    <col min="7685" max="7695" width="11.42578125" style="1"/>
    <col min="7696" max="7696" width="14.85546875" style="1" customWidth="1"/>
    <col min="7697" max="7697" width="14.5703125" style="1" customWidth="1"/>
    <col min="7698" max="7937" width="11.42578125" style="1"/>
    <col min="7938" max="7938" width="71.28515625" style="1" bestFit="1" customWidth="1"/>
    <col min="7939" max="7940" width="15.5703125" style="1" bestFit="1" customWidth="1"/>
    <col min="7941" max="7951" width="11.42578125" style="1"/>
    <col min="7952" max="7952" width="14.85546875" style="1" customWidth="1"/>
    <col min="7953" max="7953" width="14.5703125" style="1" customWidth="1"/>
    <col min="7954" max="8193" width="11.42578125" style="1"/>
    <col min="8194" max="8194" width="71.28515625" style="1" bestFit="1" customWidth="1"/>
    <col min="8195" max="8196" width="15.5703125" style="1" bestFit="1" customWidth="1"/>
    <col min="8197" max="8207" width="11.42578125" style="1"/>
    <col min="8208" max="8208" width="14.85546875" style="1" customWidth="1"/>
    <col min="8209" max="8209" width="14.5703125" style="1" customWidth="1"/>
    <col min="8210" max="8449" width="11.42578125" style="1"/>
    <col min="8450" max="8450" width="71.28515625" style="1" bestFit="1" customWidth="1"/>
    <col min="8451" max="8452" width="15.5703125" style="1" bestFit="1" customWidth="1"/>
    <col min="8453" max="8463" width="11.42578125" style="1"/>
    <col min="8464" max="8464" width="14.85546875" style="1" customWidth="1"/>
    <col min="8465" max="8465" width="14.5703125" style="1" customWidth="1"/>
    <col min="8466" max="8705" width="11.42578125" style="1"/>
    <col min="8706" max="8706" width="71.28515625" style="1" bestFit="1" customWidth="1"/>
    <col min="8707" max="8708" width="15.5703125" style="1" bestFit="1" customWidth="1"/>
    <col min="8709" max="8719" width="11.42578125" style="1"/>
    <col min="8720" max="8720" width="14.85546875" style="1" customWidth="1"/>
    <col min="8721" max="8721" width="14.5703125" style="1" customWidth="1"/>
    <col min="8722" max="8961" width="11.42578125" style="1"/>
    <col min="8962" max="8962" width="71.28515625" style="1" bestFit="1" customWidth="1"/>
    <col min="8963" max="8964" width="15.5703125" style="1" bestFit="1" customWidth="1"/>
    <col min="8965" max="8975" width="11.42578125" style="1"/>
    <col min="8976" max="8976" width="14.85546875" style="1" customWidth="1"/>
    <col min="8977" max="8977" width="14.5703125" style="1" customWidth="1"/>
    <col min="8978" max="9217" width="11.42578125" style="1"/>
    <col min="9218" max="9218" width="71.28515625" style="1" bestFit="1" customWidth="1"/>
    <col min="9219" max="9220" width="15.5703125" style="1" bestFit="1" customWidth="1"/>
    <col min="9221" max="9231" width="11.42578125" style="1"/>
    <col min="9232" max="9232" width="14.85546875" style="1" customWidth="1"/>
    <col min="9233" max="9233" width="14.5703125" style="1" customWidth="1"/>
    <col min="9234" max="9473" width="11.42578125" style="1"/>
    <col min="9474" max="9474" width="71.28515625" style="1" bestFit="1" customWidth="1"/>
    <col min="9475" max="9476" width="15.5703125" style="1" bestFit="1" customWidth="1"/>
    <col min="9477" max="9487" width="11.42578125" style="1"/>
    <col min="9488" max="9488" width="14.85546875" style="1" customWidth="1"/>
    <col min="9489" max="9489" width="14.5703125" style="1" customWidth="1"/>
    <col min="9490" max="9729" width="11.42578125" style="1"/>
    <col min="9730" max="9730" width="71.28515625" style="1" bestFit="1" customWidth="1"/>
    <col min="9731" max="9732" width="15.5703125" style="1" bestFit="1" customWidth="1"/>
    <col min="9733" max="9743" width="11.42578125" style="1"/>
    <col min="9744" max="9744" width="14.85546875" style="1" customWidth="1"/>
    <col min="9745" max="9745" width="14.5703125" style="1" customWidth="1"/>
    <col min="9746" max="9985" width="11.42578125" style="1"/>
    <col min="9986" max="9986" width="71.28515625" style="1" bestFit="1" customWidth="1"/>
    <col min="9987" max="9988" width="15.5703125" style="1" bestFit="1" customWidth="1"/>
    <col min="9989" max="9999" width="11.42578125" style="1"/>
    <col min="10000" max="10000" width="14.85546875" style="1" customWidth="1"/>
    <col min="10001" max="10001" width="14.5703125" style="1" customWidth="1"/>
    <col min="10002" max="10241" width="11.42578125" style="1"/>
    <col min="10242" max="10242" width="71.28515625" style="1" bestFit="1" customWidth="1"/>
    <col min="10243" max="10244" width="15.5703125" style="1" bestFit="1" customWidth="1"/>
    <col min="10245" max="10255" width="11.42578125" style="1"/>
    <col min="10256" max="10256" width="14.85546875" style="1" customWidth="1"/>
    <col min="10257" max="10257" width="14.5703125" style="1" customWidth="1"/>
    <col min="10258" max="10497" width="11.42578125" style="1"/>
    <col min="10498" max="10498" width="71.28515625" style="1" bestFit="1" customWidth="1"/>
    <col min="10499" max="10500" width="15.5703125" style="1" bestFit="1" customWidth="1"/>
    <col min="10501" max="10511" width="11.42578125" style="1"/>
    <col min="10512" max="10512" width="14.85546875" style="1" customWidth="1"/>
    <col min="10513" max="10513" width="14.5703125" style="1" customWidth="1"/>
    <col min="10514" max="10753" width="11.42578125" style="1"/>
    <col min="10754" max="10754" width="71.28515625" style="1" bestFit="1" customWidth="1"/>
    <col min="10755" max="10756" width="15.5703125" style="1" bestFit="1" customWidth="1"/>
    <col min="10757" max="10767" width="11.42578125" style="1"/>
    <col min="10768" max="10768" width="14.85546875" style="1" customWidth="1"/>
    <col min="10769" max="10769" width="14.5703125" style="1" customWidth="1"/>
    <col min="10770" max="11009" width="11.42578125" style="1"/>
    <col min="11010" max="11010" width="71.28515625" style="1" bestFit="1" customWidth="1"/>
    <col min="11011" max="11012" width="15.5703125" style="1" bestFit="1" customWidth="1"/>
    <col min="11013" max="11023" width="11.42578125" style="1"/>
    <col min="11024" max="11024" width="14.85546875" style="1" customWidth="1"/>
    <col min="11025" max="11025" width="14.5703125" style="1" customWidth="1"/>
    <col min="11026" max="11265" width="11.42578125" style="1"/>
    <col min="11266" max="11266" width="71.28515625" style="1" bestFit="1" customWidth="1"/>
    <col min="11267" max="11268" width="15.5703125" style="1" bestFit="1" customWidth="1"/>
    <col min="11269" max="11279" width="11.42578125" style="1"/>
    <col min="11280" max="11280" width="14.85546875" style="1" customWidth="1"/>
    <col min="11281" max="11281" width="14.5703125" style="1" customWidth="1"/>
    <col min="11282" max="11521" width="11.42578125" style="1"/>
    <col min="11522" max="11522" width="71.28515625" style="1" bestFit="1" customWidth="1"/>
    <col min="11523" max="11524" width="15.5703125" style="1" bestFit="1" customWidth="1"/>
    <col min="11525" max="11535" width="11.42578125" style="1"/>
    <col min="11536" max="11536" width="14.85546875" style="1" customWidth="1"/>
    <col min="11537" max="11537" width="14.5703125" style="1" customWidth="1"/>
    <col min="11538" max="11777" width="11.42578125" style="1"/>
    <col min="11778" max="11778" width="71.28515625" style="1" bestFit="1" customWidth="1"/>
    <col min="11779" max="11780" width="15.5703125" style="1" bestFit="1" customWidth="1"/>
    <col min="11781" max="11791" width="11.42578125" style="1"/>
    <col min="11792" max="11792" width="14.85546875" style="1" customWidth="1"/>
    <col min="11793" max="11793" width="14.5703125" style="1" customWidth="1"/>
    <col min="11794" max="12033" width="11.42578125" style="1"/>
    <col min="12034" max="12034" width="71.28515625" style="1" bestFit="1" customWidth="1"/>
    <col min="12035" max="12036" width="15.5703125" style="1" bestFit="1" customWidth="1"/>
    <col min="12037" max="12047" width="11.42578125" style="1"/>
    <col min="12048" max="12048" width="14.85546875" style="1" customWidth="1"/>
    <col min="12049" max="12049" width="14.5703125" style="1" customWidth="1"/>
    <col min="12050" max="12289" width="11.42578125" style="1"/>
    <col min="12290" max="12290" width="71.28515625" style="1" bestFit="1" customWidth="1"/>
    <col min="12291" max="12292" width="15.5703125" style="1" bestFit="1" customWidth="1"/>
    <col min="12293" max="12303" width="11.42578125" style="1"/>
    <col min="12304" max="12304" width="14.85546875" style="1" customWidth="1"/>
    <col min="12305" max="12305" width="14.5703125" style="1" customWidth="1"/>
    <col min="12306" max="12545" width="11.42578125" style="1"/>
    <col min="12546" max="12546" width="71.28515625" style="1" bestFit="1" customWidth="1"/>
    <col min="12547" max="12548" width="15.5703125" style="1" bestFit="1" customWidth="1"/>
    <col min="12549" max="12559" width="11.42578125" style="1"/>
    <col min="12560" max="12560" width="14.85546875" style="1" customWidth="1"/>
    <col min="12561" max="12561" width="14.5703125" style="1" customWidth="1"/>
    <col min="12562" max="12801" width="11.42578125" style="1"/>
    <col min="12802" max="12802" width="71.28515625" style="1" bestFit="1" customWidth="1"/>
    <col min="12803" max="12804" width="15.5703125" style="1" bestFit="1" customWidth="1"/>
    <col min="12805" max="12815" width="11.42578125" style="1"/>
    <col min="12816" max="12816" width="14.85546875" style="1" customWidth="1"/>
    <col min="12817" max="12817" width="14.5703125" style="1" customWidth="1"/>
    <col min="12818" max="13057" width="11.42578125" style="1"/>
    <col min="13058" max="13058" width="71.28515625" style="1" bestFit="1" customWidth="1"/>
    <col min="13059" max="13060" width="15.5703125" style="1" bestFit="1" customWidth="1"/>
    <col min="13061" max="13071" width="11.42578125" style="1"/>
    <col min="13072" max="13072" width="14.85546875" style="1" customWidth="1"/>
    <col min="13073" max="13073" width="14.5703125" style="1" customWidth="1"/>
    <col min="13074" max="13313" width="11.42578125" style="1"/>
    <col min="13314" max="13314" width="71.28515625" style="1" bestFit="1" customWidth="1"/>
    <col min="13315" max="13316" width="15.5703125" style="1" bestFit="1" customWidth="1"/>
    <col min="13317" max="13327" width="11.42578125" style="1"/>
    <col min="13328" max="13328" width="14.85546875" style="1" customWidth="1"/>
    <col min="13329" max="13329" width="14.5703125" style="1" customWidth="1"/>
    <col min="13330" max="13569" width="11.42578125" style="1"/>
    <col min="13570" max="13570" width="71.28515625" style="1" bestFit="1" customWidth="1"/>
    <col min="13571" max="13572" width="15.5703125" style="1" bestFit="1" customWidth="1"/>
    <col min="13573" max="13583" width="11.42578125" style="1"/>
    <col min="13584" max="13584" width="14.85546875" style="1" customWidth="1"/>
    <col min="13585" max="13585" width="14.5703125" style="1" customWidth="1"/>
    <col min="13586" max="13825" width="11.42578125" style="1"/>
    <col min="13826" max="13826" width="71.28515625" style="1" bestFit="1" customWidth="1"/>
    <col min="13827" max="13828" width="15.5703125" style="1" bestFit="1" customWidth="1"/>
    <col min="13829" max="13839" width="11.42578125" style="1"/>
    <col min="13840" max="13840" width="14.85546875" style="1" customWidth="1"/>
    <col min="13841" max="13841" width="14.5703125" style="1" customWidth="1"/>
    <col min="13842" max="14081" width="11.42578125" style="1"/>
    <col min="14082" max="14082" width="71.28515625" style="1" bestFit="1" customWidth="1"/>
    <col min="14083" max="14084" width="15.5703125" style="1" bestFit="1" customWidth="1"/>
    <col min="14085" max="14095" width="11.42578125" style="1"/>
    <col min="14096" max="14096" width="14.85546875" style="1" customWidth="1"/>
    <col min="14097" max="14097" width="14.5703125" style="1" customWidth="1"/>
    <col min="14098" max="14337" width="11.42578125" style="1"/>
    <col min="14338" max="14338" width="71.28515625" style="1" bestFit="1" customWidth="1"/>
    <col min="14339" max="14340" width="15.5703125" style="1" bestFit="1" customWidth="1"/>
    <col min="14341" max="14351" width="11.42578125" style="1"/>
    <col min="14352" max="14352" width="14.85546875" style="1" customWidth="1"/>
    <col min="14353" max="14353" width="14.5703125" style="1" customWidth="1"/>
    <col min="14354" max="14593" width="11.42578125" style="1"/>
    <col min="14594" max="14594" width="71.28515625" style="1" bestFit="1" customWidth="1"/>
    <col min="14595" max="14596" width="15.5703125" style="1" bestFit="1" customWidth="1"/>
    <col min="14597" max="14607" width="11.42578125" style="1"/>
    <col min="14608" max="14608" width="14.85546875" style="1" customWidth="1"/>
    <col min="14609" max="14609" width="14.5703125" style="1" customWidth="1"/>
    <col min="14610" max="14849" width="11.42578125" style="1"/>
    <col min="14850" max="14850" width="71.28515625" style="1" bestFit="1" customWidth="1"/>
    <col min="14851" max="14852" width="15.5703125" style="1" bestFit="1" customWidth="1"/>
    <col min="14853" max="14863" width="11.42578125" style="1"/>
    <col min="14864" max="14864" width="14.85546875" style="1" customWidth="1"/>
    <col min="14865" max="14865" width="14.5703125" style="1" customWidth="1"/>
    <col min="14866" max="15105" width="11.42578125" style="1"/>
    <col min="15106" max="15106" width="71.28515625" style="1" bestFit="1" customWidth="1"/>
    <col min="15107" max="15108" width="15.5703125" style="1" bestFit="1" customWidth="1"/>
    <col min="15109" max="15119" width="11.42578125" style="1"/>
    <col min="15120" max="15120" width="14.85546875" style="1" customWidth="1"/>
    <col min="15121" max="15121" width="14.5703125" style="1" customWidth="1"/>
    <col min="15122" max="15361" width="11.42578125" style="1"/>
    <col min="15362" max="15362" width="71.28515625" style="1" bestFit="1" customWidth="1"/>
    <col min="15363" max="15364" width="15.5703125" style="1" bestFit="1" customWidth="1"/>
    <col min="15365" max="15375" width="11.42578125" style="1"/>
    <col min="15376" max="15376" width="14.85546875" style="1" customWidth="1"/>
    <col min="15377" max="15377" width="14.5703125" style="1" customWidth="1"/>
    <col min="15378" max="15617" width="11.42578125" style="1"/>
    <col min="15618" max="15618" width="71.28515625" style="1" bestFit="1" customWidth="1"/>
    <col min="15619" max="15620" width="15.5703125" style="1" bestFit="1" customWidth="1"/>
    <col min="15621" max="15631" width="11.42578125" style="1"/>
    <col min="15632" max="15632" width="14.85546875" style="1" customWidth="1"/>
    <col min="15633" max="15633" width="14.5703125" style="1" customWidth="1"/>
    <col min="15634" max="15873" width="11.42578125" style="1"/>
    <col min="15874" max="15874" width="71.28515625" style="1" bestFit="1" customWidth="1"/>
    <col min="15875" max="15876" width="15.5703125" style="1" bestFit="1" customWidth="1"/>
    <col min="15877" max="15887" width="11.42578125" style="1"/>
    <col min="15888" max="15888" width="14.85546875" style="1" customWidth="1"/>
    <col min="15889" max="15889" width="14.5703125" style="1" customWidth="1"/>
    <col min="15890" max="16129" width="11.42578125" style="1"/>
    <col min="16130" max="16130" width="71.28515625" style="1" bestFit="1" customWidth="1"/>
    <col min="16131" max="16132" width="15.5703125" style="1" bestFit="1" customWidth="1"/>
    <col min="16133" max="16143" width="11.42578125" style="1"/>
    <col min="16144" max="16144" width="14.85546875" style="1" customWidth="1"/>
    <col min="16145" max="16145" width="14.5703125" style="1" customWidth="1"/>
    <col min="16146" max="16384" width="11.42578125" style="1"/>
  </cols>
  <sheetData>
    <row r="1" spans="1:18" ht="20.25" x14ac:dyDescent="0.3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8" x14ac:dyDescent="0.25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8" ht="15.75" x14ac:dyDescent="0.25">
      <c r="A4" s="102" t="s">
        <v>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8" x14ac:dyDescent="0.25">
      <c r="A6" s="103" t="s">
        <v>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3"/>
      <c r="Q6" s="3"/>
      <c r="R6" s="3"/>
    </row>
    <row r="7" spans="1:18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.75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7"/>
      <c r="P8" s="7"/>
      <c r="Q8" s="7"/>
    </row>
    <row r="9" spans="1:18" ht="47.25" x14ac:dyDescent="0.25">
      <c r="A9" s="9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10" t="s">
        <v>12</v>
      </c>
      <c r="J9" s="10" t="s">
        <v>13</v>
      </c>
      <c r="K9" s="10" t="s">
        <v>14</v>
      </c>
      <c r="L9" s="10" t="s">
        <v>15</v>
      </c>
      <c r="M9" s="10" t="s">
        <v>16</v>
      </c>
      <c r="N9" s="10" t="s">
        <v>17</v>
      </c>
      <c r="O9" s="10" t="s">
        <v>18</v>
      </c>
      <c r="P9" s="10" t="s">
        <v>19</v>
      </c>
      <c r="Q9" s="10" t="s">
        <v>20</v>
      </c>
      <c r="R9" s="11" t="s">
        <v>21</v>
      </c>
    </row>
    <row r="10" spans="1:18" ht="15.75" x14ac:dyDescent="0.25">
      <c r="A10" s="12" t="s">
        <v>22</v>
      </c>
      <c r="B10" s="13">
        <f>+B11+B19</f>
        <v>8268243.2600000007</v>
      </c>
      <c r="C10" s="13">
        <f>+C11+C19</f>
        <v>7574898.8000000007</v>
      </c>
      <c r="D10" s="13">
        <f t="shared" ref="D10:N10" si="0">+D11+D19</f>
        <v>8084664.8599999994</v>
      </c>
      <c r="E10" s="13">
        <f t="shared" si="0"/>
        <v>7029512.9800000004</v>
      </c>
      <c r="F10" s="13">
        <f t="shared" si="0"/>
        <v>8428590.6899999995</v>
      </c>
      <c r="G10" s="13">
        <f t="shared" si="0"/>
        <v>8233383.1500000004</v>
      </c>
      <c r="H10" s="13">
        <f t="shared" si="0"/>
        <v>8761765.5100000016</v>
      </c>
      <c r="I10" s="13">
        <f t="shared" si="0"/>
        <v>9142499.6199999992</v>
      </c>
      <c r="J10" s="13">
        <f t="shared" si="0"/>
        <v>8535721.6899999976</v>
      </c>
      <c r="K10" s="13">
        <f t="shared" si="0"/>
        <v>8918278.6900000013</v>
      </c>
      <c r="L10" s="13">
        <f t="shared" si="0"/>
        <v>10375872.420000002</v>
      </c>
      <c r="M10" s="13">
        <f t="shared" si="0"/>
        <v>11304373.100000001</v>
      </c>
      <c r="N10" s="13">
        <f t="shared" si="0"/>
        <v>104657804.77</v>
      </c>
      <c r="O10" s="13">
        <f>+O11+O19</f>
        <v>98365495.640000001</v>
      </c>
      <c r="P10" s="13">
        <f>+P11+P19</f>
        <v>98365495.640000015</v>
      </c>
      <c r="Q10" s="13">
        <f>+N10-P10</f>
        <v>6292309.1299999803</v>
      </c>
      <c r="R10" s="14">
        <f>+N10/O10</f>
        <v>1.0639686618672539</v>
      </c>
    </row>
    <row r="11" spans="1:18" x14ac:dyDescent="0.25">
      <c r="A11" s="15" t="s">
        <v>23</v>
      </c>
      <c r="B11" s="16">
        <f>+B13+B16+B17</f>
        <v>8268384.0600000005</v>
      </c>
      <c r="C11" s="16">
        <f t="shared" ref="C11:N11" si="1">+C13+C16+C17</f>
        <v>7574890.6900000004</v>
      </c>
      <c r="D11" s="16">
        <f t="shared" si="1"/>
        <v>8084713.9899999993</v>
      </c>
      <c r="E11" s="16">
        <f t="shared" si="1"/>
        <v>7029585.3099999996</v>
      </c>
      <c r="F11" s="16">
        <f t="shared" si="1"/>
        <v>8428613.7899999991</v>
      </c>
      <c r="G11" s="16">
        <f t="shared" si="1"/>
        <v>8233345.4699999997</v>
      </c>
      <c r="H11" s="16">
        <f t="shared" si="1"/>
        <v>8761800.7500000019</v>
      </c>
      <c r="I11" s="16">
        <f t="shared" si="1"/>
        <v>9142462.1300000008</v>
      </c>
      <c r="J11" s="16">
        <f t="shared" si="1"/>
        <v>8535740.8199999984</v>
      </c>
      <c r="K11" s="16">
        <f t="shared" si="1"/>
        <v>8918320.2400000021</v>
      </c>
      <c r="L11" s="16">
        <f t="shared" si="1"/>
        <v>10376103.650000002</v>
      </c>
      <c r="M11" s="16">
        <f t="shared" si="1"/>
        <v>11304418.800000001</v>
      </c>
      <c r="N11" s="16">
        <f t="shared" si="1"/>
        <v>104658379.7</v>
      </c>
      <c r="O11" s="16">
        <f>+O13+O16+O17</f>
        <v>95033419.640000001</v>
      </c>
      <c r="P11" s="16">
        <f>+P13</f>
        <v>95033419.640000015</v>
      </c>
      <c r="Q11" s="16">
        <f>+N11-P11</f>
        <v>9624960.0599999875</v>
      </c>
      <c r="R11" s="17">
        <f>+N10/O10</f>
        <v>1.0639686618672539</v>
      </c>
    </row>
    <row r="12" spans="1:18" x14ac:dyDescent="0.25">
      <c r="A12" s="15" t="s">
        <v>24</v>
      </c>
      <c r="B12" s="16">
        <f>+B14+B16+B17</f>
        <v>6767914.3300000001</v>
      </c>
      <c r="C12" s="16">
        <f t="shared" ref="C12:N12" si="2">+C14+C16+C17</f>
        <v>5752267.7400000002</v>
      </c>
      <c r="D12" s="16">
        <f t="shared" si="2"/>
        <v>6788917.4100000001</v>
      </c>
      <c r="E12" s="16">
        <f t="shared" si="2"/>
        <v>5718190.79</v>
      </c>
      <c r="F12" s="16">
        <f t="shared" si="2"/>
        <v>7209986.3399999999</v>
      </c>
      <c r="G12" s="16">
        <f t="shared" si="2"/>
        <v>6945250.7800000003</v>
      </c>
      <c r="H12" s="16">
        <f t="shared" si="2"/>
        <v>7491855.8399999989</v>
      </c>
      <c r="I12" s="16">
        <f t="shared" si="2"/>
        <v>7793679.3099999996</v>
      </c>
      <c r="J12" s="16">
        <f t="shared" si="2"/>
        <v>7216333.7800000003</v>
      </c>
      <c r="K12" s="16">
        <f t="shared" si="2"/>
        <v>7634239.330000001</v>
      </c>
      <c r="L12" s="16">
        <f t="shared" si="2"/>
        <v>6648052.5400000019</v>
      </c>
      <c r="M12" s="16">
        <f t="shared" si="2"/>
        <v>7032796.7499999991</v>
      </c>
      <c r="N12" s="16">
        <f t="shared" si="2"/>
        <v>82999484.940000013</v>
      </c>
      <c r="O12" s="18">
        <v>81265236.150000006</v>
      </c>
      <c r="P12" s="16">
        <f t="shared" ref="P12:P19" si="3">+O12/12*$R$20</f>
        <v>81265236.150000006</v>
      </c>
      <c r="Q12" s="16">
        <f>+N12-P12</f>
        <v>1734248.7900000066</v>
      </c>
      <c r="R12" s="17">
        <f t="shared" ref="R12:R13" si="4">+N11/O11</f>
        <v>1.1012797402898971</v>
      </c>
    </row>
    <row r="13" spans="1:18" x14ac:dyDescent="0.25">
      <c r="A13" s="19" t="s">
        <v>25</v>
      </c>
      <c r="B13" s="16">
        <f>+B14+B15</f>
        <v>8798917.5099999998</v>
      </c>
      <c r="C13" s="16">
        <f t="shared" ref="C13:N13" si="5">+C14+C15</f>
        <v>8042365.0600000005</v>
      </c>
      <c r="D13" s="16">
        <f t="shared" si="5"/>
        <v>8716956.5999999996</v>
      </c>
      <c r="E13" s="16">
        <f t="shared" si="5"/>
        <v>7599873.1499999994</v>
      </c>
      <c r="F13" s="16">
        <f t="shared" si="5"/>
        <v>9030748.7499999851</v>
      </c>
      <c r="G13" s="16">
        <f t="shared" si="5"/>
        <v>8770869.1099999994</v>
      </c>
      <c r="H13" s="16">
        <f t="shared" si="5"/>
        <v>9371309.3000000007</v>
      </c>
      <c r="I13" s="16">
        <f t="shared" si="5"/>
        <v>9801394.3500000015</v>
      </c>
      <c r="J13" s="16">
        <f t="shared" si="5"/>
        <v>9518967.0600000061</v>
      </c>
      <c r="K13" s="16">
        <f t="shared" si="5"/>
        <v>12662816.909999985</v>
      </c>
      <c r="L13" s="16">
        <f t="shared" si="5"/>
        <v>16301299.890000001</v>
      </c>
      <c r="M13" s="16">
        <f t="shared" si="5"/>
        <v>14225413.149999999</v>
      </c>
      <c r="N13" s="16">
        <f t="shared" si="5"/>
        <v>122840930.83999997</v>
      </c>
      <c r="O13" s="16">
        <f>+O12+O15</f>
        <v>95033419.640000001</v>
      </c>
      <c r="P13" s="16">
        <f>+P12+P15</f>
        <v>95033419.640000015</v>
      </c>
      <c r="Q13" s="16">
        <f>+N13-P13</f>
        <v>27807511.199999958</v>
      </c>
      <c r="R13" s="17">
        <f t="shared" si="4"/>
        <v>1.0213405986638484</v>
      </c>
    </row>
    <row r="14" spans="1:18" x14ac:dyDescent="0.25">
      <c r="A14" s="20" t="s">
        <v>26</v>
      </c>
      <c r="B14" s="18">
        <f>6767914.33-B16-B17</f>
        <v>7298447.7800000003</v>
      </c>
      <c r="C14" s="18">
        <f>5752267.74-C16-C17</f>
        <v>6219742.1100000003</v>
      </c>
      <c r="D14" s="18">
        <f>6788917.41-D16-D17</f>
        <v>7421160.0200000005</v>
      </c>
      <c r="E14" s="18">
        <f>5718190.79-E16-E17</f>
        <v>6288478.6299999999</v>
      </c>
      <c r="F14" s="18">
        <f>7209986.34-F16-F17</f>
        <v>7812121.2999999858</v>
      </c>
      <c r="G14" s="18">
        <f>6945250.78-G16-G17</f>
        <v>7482774.4199999999</v>
      </c>
      <c r="H14" s="18">
        <f>7491855.84-H16-H17</f>
        <v>8101364.3899999997</v>
      </c>
      <c r="I14" s="18">
        <f>7793679.31-I16-I17</f>
        <v>8452611.5299999993</v>
      </c>
      <c r="J14" s="18">
        <f>7216333.78-J17-J16</f>
        <v>8199560.0200000061</v>
      </c>
      <c r="K14" s="18">
        <f>7634239.33-K16-K17</f>
        <v>11378735.999999985</v>
      </c>
      <c r="L14" s="18">
        <f>6648052.54-L16-L17</f>
        <v>12573248.780000001</v>
      </c>
      <c r="M14" s="18">
        <f>7032796.75-M16-M17</f>
        <v>9953791.0999999978</v>
      </c>
      <c r="N14" s="16">
        <f t="shared" ref="N14:N19" si="6">SUM(B14:M14)</f>
        <v>101182036.07999998</v>
      </c>
      <c r="O14" s="16"/>
      <c r="P14" s="16"/>
      <c r="Q14" s="16"/>
      <c r="R14" s="17"/>
    </row>
    <row r="15" spans="1:18" x14ac:dyDescent="0.25">
      <c r="A15" s="20" t="s">
        <v>27</v>
      </c>
      <c r="B15" s="18">
        <f>1500328.93-B19</f>
        <v>1500469.73</v>
      </c>
      <c r="C15" s="18">
        <f>1822631.06-C19</f>
        <v>1822622.95</v>
      </c>
      <c r="D15" s="18">
        <f>1295747.45+49.13</f>
        <v>1295796.5799999998</v>
      </c>
      <c r="E15" s="18">
        <v>1311394.5199999996</v>
      </c>
      <c r="F15" s="18">
        <v>1218627.4499999993</v>
      </c>
      <c r="G15" s="18">
        <v>1288094.6899999995</v>
      </c>
      <c r="H15" s="18">
        <v>1269944.9100000001</v>
      </c>
      <c r="I15" s="18">
        <v>1348782.8200000012</v>
      </c>
      <c r="J15" s="18">
        <v>1319407.04</v>
      </c>
      <c r="K15" s="18">
        <v>1284080.9100000001</v>
      </c>
      <c r="L15" s="18">
        <v>3728051.1100000003</v>
      </c>
      <c r="M15" s="18">
        <f>4271576.35-M19</f>
        <v>4271622.05</v>
      </c>
      <c r="N15" s="16">
        <f t="shared" si="6"/>
        <v>21658894.759999998</v>
      </c>
      <c r="O15" s="18">
        <v>13768183.49</v>
      </c>
      <c r="P15" s="16">
        <f>+O15/12*$R$20</f>
        <v>13768183.490000002</v>
      </c>
      <c r="Q15" s="16">
        <f t="shared" ref="Q15:Q19" si="7">+N15-P15</f>
        <v>7890711.2699999958</v>
      </c>
      <c r="R15" s="17">
        <f>+N15/O15</f>
        <v>1.5731120068040287</v>
      </c>
    </row>
    <row r="16" spans="1:18" x14ac:dyDescent="0.25">
      <c r="A16" s="21" t="s">
        <v>28</v>
      </c>
      <c r="B16" s="22">
        <v>-384826.95</v>
      </c>
      <c r="C16" s="22">
        <v>-372773.24</v>
      </c>
      <c r="D16" s="22">
        <v>-453609.66</v>
      </c>
      <c r="E16" s="22">
        <v>-393008.84</v>
      </c>
      <c r="F16" s="22">
        <v>-466246.88999998599</v>
      </c>
      <c r="G16" s="22">
        <v>-454952.88</v>
      </c>
      <c r="H16" s="22">
        <v>-478294.52</v>
      </c>
      <c r="I16" s="22">
        <v>-469529.8</v>
      </c>
      <c r="J16" s="22">
        <v>-778459.77000000607</v>
      </c>
      <c r="K16" s="22">
        <v>-465238.36999998498</v>
      </c>
      <c r="L16" s="22">
        <v>-457756.29</v>
      </c>
      <c r="M16" s="22">
        <v>-457779.47999999899</v>
      </c>
      <c r="N16" s="16">
        <f t="shared" si="6"/>
        <v>-5632476.6899999753</v>
      </c>
      <c r="O16" s="16"/>
      <c r="P16" s="16"/>
      <c r="Q16" s="16"/>
      <c r="R16" s="17"/>
    </row>
    <row r="17" spans="1:18" x14ac:dyDescent="0.25">
      <c r="A17" s="21" t="s">
        <v>29</v>
      </c>
      <c r="B17" s="22">
        <v>-145706.5</v>
      </c>
      <c r="C17" s="22">
        <v>-94701.13</v>
      </c>
      <c r="D17" s="22">
        <v>-178632.95</v>
      </c>
      <c r="E17" s="22">
        <v>-177279</v>
      </c>
      <c r="F17" s="22">
        <v>-135888.07</v>
      </c>
      <c r="G17" s="22">
        <v>-82570.759999999995</v>
      </c>
      <c r="H17" s="22">
        <v>-131214.03</v>
      </c>
      <c r="I17" s="22">
        <v>-189402.42</v>
      </c>
      <c r="J17" s="22">
        <v>-204766.47</v>
      </c>
      <c r="K17" s="22">
        <v>-3279258.3</v>
      </c>
      <c r="L17" s="22">
        <v>-5467439.9500000002</v>
      </c>
      <c r="M17" s="22">
        <v>-2463214.87</v>
      </c>
      <c r="N17" s="16">
        <f t="shared" si="6"/>
        <v>-12550074.449999999</v>
      </c>
      <c r="O17" s="16"/>
      <c r="P17" s="16"/>
      <c r="Q17" s="16"/>
      <c r="R17" s="17"/>
    </row>
    <row r="18" spans="1:18" x14ac:dyDescent="0.25">
      <c r="A18" s="21" t="s">
        <v>30</v>
      </c>
      <c r="B18" s="23">
        <v>-258908.75</v>
      </c>
      <c r="C18" s="23">
        <v>-1618967.0499999952</v>
      </c>
      <c r="D18" s="23">
        <v>-893704.01999999699</v>
      </c>
      <c r="E18" s="23">
        <v>-1108707.4199999934</v>
      </c>
      <c r="F18" s="23">
        <v>-325268.90000001807</v>
      </c>
      <c r="G18" s="23">
        <v>-497374.31999999471</v>
      </c>
      <c r="H18" s="23">
        <v>-284971.40999999997</v>
      </c>
      <c r="I18" s="23">
        <v>-262461.55000000633</v>
      </c>
      <c r="J18" s="23">
        <v>-467003.09999999002</v>
      </c>
      <c r="K18" s="23">
        <v>-255518.52</v>
      </c>
      <c r="L18" s="23">
        <v>-191062.17</v>
      </c>
      <c r="M18" s="23">
        <v>-213174.36</v>
      </c>
      <c r="N18" s="16">
        <f t="shared" si="6"/>
        <v>-6377121.5699999947</v>
      </c>
      <c r="O18" s="16"/>
      <c r="P18" s="16"/>
      <c r="Q18" s="16"/>
      <c r="R18" s="17"/>
    </row>
    <row r="19" spans="1:18" x14ac:dyDescent="0.25">
      <c r="A19" s="24" t="s">
        <v>31</v>
      </c>
      <c r="B19" s="18">
        <v>-140.80000000000001</v>
      </c>
      <c r="C19" s="18">
        <v>8.11</v>
      </c>
      <c r="D19" s="18">
        <v>-49.13</v>
      </c>
      <c r="E19" s="18">
        <v>-72.329999999143183</v>
      </c>
      <c r="F19" s="18">
        <v>-23.1</v>
      </c>
      <c r="G19" s="18">
        <v>37.680000000633299</v>
      </c>
      <c r="H19" s="18">
        <v>-35.240000000223517</v>
      </c>
      <c r="I19" s="18">
        <v>37.489999998360872</v>
      </c>
      <c r="J19" s="18">
        <v>-19.130000000819564</v>
      </c>
      <c r="K19" s="18">
        <v>-41.550000000745058</v>
      </c>
      <c r="L19" s="18">
        <v>-231.23000000044703</v>
      </c>
      <c r="M19" s="18">
        <v>-45.7</v>
      </c>
      <c r="N19" s="16">
        <f t="shared" si="6"/>
        <v>-574.9300000023843</v>
      </c>
      <c r="O19" s="18">
        <v>3332076</v>
      </c>
      <c r="P19" s="16">
        <f t="shared" si="3"/>
        <v>3332076</v>
      </c>
      <c r="Q19" s="16">
        <f t="shared" si="7"/>
        <v>-3332650.9300000025</v>
      </c>
      <c r="R19" s="17">
        <f>+N19/O19</f>
        <v>-1.7254408362906017E-4</v>
      </c>
    </row>
    <row r="20" spans="1:18" x14ac:dyDescent="0.2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7">
        <f>COUNTA(B14:M14)</f>
        <v>12</v>
      </c>
    </row>
    <row r="21" spans="1:18" ht="15.75" x14ac:dyDescent="0.25">
      <c r="A21" s="28" t="s">
        <v>32</v>
      </c>
      <c r="B21" s="29">
        <f>+B22+B32+B33</f>
        <v>4764600.09</v>
      </c>
      <c r="C21" s="29">
        <f t="shared" ref="C21:N21" si="8">+C22+C32+C33</f>
        <v>6121127.4200000009</v>
      </c>
      <c r="D21" s="29">
        <f t="shared" si="8"/>
        <v>6488128.1099999994</v>
      </c>
      <c r="E21" s="29">
        <f t="shared" si="8"/>
        <v>6542994.0499999998</v>
      </c>
      <c r="F21" s="29">
        <f t="shared" si="8"/>
        <v>7792468.3100000005</v>
      </c>
      <c r="G21" s="29">
        <f t="shared" si="8"/>
        <v>8187113.8800000008</v>
      </c>
      <c r="H21" s="29">
        <f t="shared" si="8"/>
        <v>7204248.5699999994</v>
      </c>
      <c r="I21" s="29">
        <f t="shared" si="8"/>
        <v>8634759.2100000009</v>
      </c>
      <c r="J21" s="29">
        <f t="shared" si="8"/>
        <v>8461064.6799999997</v>
      </c>
      <c r="K21" s="29">
        <f t="shared" si="8"/>
        <v>8792141.709999999</v>
      </c>
      <c r="L21" s="29">
        <f t="shared" si="8"/>
        <v>10054118.65</v>
      </c>
      <c r="M21" s="29">
        <f t="shared" si="8"/>
        <v>25014270.079999998</v>
      </c>
      <c r="N21" s="29">
        <f t="shared" si="8"/>
        <v>85791855.25999999</v>
      </c>
      <c r="O21" s="29">
        <f>+O22+O32+O33</f>
        <v>85924988.605200753</v>
      </c>
      <c r="P21" s="29">
        <f>+P22+P32+P33</f>
        <v>85924988.605200753</v>
      </c>
      <c r="Q21" s="29">
        <f t="shared" ref="Q21:Q30" si="9">+N21-P21</f>
        <v>-133133.34520076215</v>
      </c>
      <c r="R21" s="14">
        <f>+N21/O21</f>
        <v>0.99845058640842577</v>
      </c>
    </row>
    <row r="22" spans="1:18" x14ac:dyDescent="0.25">
      <c r="A22" s="15" t="s">
        <v>33</v>
      </c>
      <c r="B22" s="30">
        <f>+B23+B24+B25+B29+B30</f>
        <v>4764600.09</v>
      </c>
      <c r="C22" s="30">
        <f t="shared" ref="C22:N22" si="10">+C23+C24+C25+C29+C30</f>
        <v>6121127.4200000009</v>
      </c>
      <c r="D22" s="30">
        <f t="shared" si="10"/>
        <v>6488128.1099999994</v>
      </c>
      <c r="E22" s="30">
        <f t="shared" si="10"/>
        <v>6542994.0499999998</v>
      </c>
      <c r="F22" s="30">
        <f t="shared" si="10"/>
        <v>7792468.3100000005</v>
      </c>
      <c r="G22" s="30">
        <f t="shared" si="10"/>
        <v>8097587.7600000007</v>
      </c>
      <c r="H22" s="30">
        <f t="shared" si="10"/>
        <v>6988808.9299999997</v>
      </c>
      <c r="I22" s="30">
        <f t="shared" si="10"/>
        <v>7942066.25</v>
      </c>
      <c r="J22" s="30">
        <f t="shared" si="10"/>
        <v>6715897.0099999998</v>
      </c>
      <c r="K22" s="30">
        <f t="shared" si="10"/>
        <v>8574262.5899999999</v>
      </c>
      <c r="L22" s="30">
        <f t="shared" si="10"/>
        <v>7522659.5300000003</v>
      </c>
      <c r="M22" s="30">
        <f t="shared" si="10"/>
        <v>8241255.21</v>
      </c>
      <c r="N22" s="30">
        <f t="shared" si="10"/>
        <v>85791855.25999999</v>
      </c>
      <c r="O22" s="30">
        <f>+O23+O24+O25+O29+O30</f>
        <v>85924988.605200753</v>
      </c>
      <c r="P22" s="30">
        <f>+P23+P24+P25+P29+P30</f>
        <v>85924988.605200753</v>
      </c>
      <c r="Q22" s="30">
        <f t="shared" si="9"/>
        <v>-133133.34520076215</v>
      </c>
      <c r="R22" s="17">
        <f>+N21/O21</f>
        <v>0.99845058640842577</v>
      </c>
    </row>
    <row r="23" spans="1:18" x14ac:dyDescent="0.25">
      <c r="A23" s="19" t="s">
        <v>34</v>
      </c>
      <c r="B23" s="18">
        <v>1739098.29</v>
      </c>
      <c r="C23" s="18">
        <v>2211133.86</v>
      </c>
      <c r="D23" s="18">
        <v>2517396.92</v>
      </c>
      <c r="E23" s="18">
        <v>1821418.5</v>
      </c>
      <c r="F23" s="18">
        <v>2482979.4</v>
      </c>
      <c r="G23" s="18">
        <v>3470839.95</v>
      </c>
      <c r="H23" s="18">
        <v>2432654.9700000002</v>
      </c>
      <c r="I23" s="18">
        <v>3572905.24</v>
      </c>
      <c r="J23" s="18">
        <v>2065530.92</v>
      </c>
      <c r="K23" s="18">
        <v>3604990.93</v>
      </c>
      <c r="L23" s="18">
        <v>2290225.31</v>
      </c>
      <c r="M23" s="18">
        <v>2086637.41</v>
      </c>
      <c r="N23" s="31">
        <f>SUM(B23:M23)</f>
        <v>30295811.700000003</v>
      </c>
      <c r="O23" s="18">
        <v>35617965.22186514</v>
      </c>
      <c r="P23" s="16">
        <f>+O23/12*$R$20</f>
        <v>35617965.22186514</v>
      </c>
      <c r="Q23" s="16">
        <f t="shared" si="9"/>
        <v>-5322153.5218651369</v>
      </c>
      <c r="R23" s="17">
        <f t="shared" ref="R23:R34" si="11">+N22/O22</f>
        <v>0.99845058640842577</v>
      </c>
    </row>
    <row r="24" spans="1:18" x14ac:dyDescent="0.25">
      <c r="A24" s="21" t="s">
        <v>35</v>
      </c>
      <c r="B24" s="18">
        <v>480088.47</v>
      </c>
      <c r="C24" s="18">
        <v>833429.31</v>
      </c>
      <c r="D24" s="18">
        <v>861979.06</v>
      </c>
      <c r="E24" s="18">
        <v>831177.25</v>
      </c>
      <c r="F24" s="18">
        <v>985367.78</v>
      </c>
      <c r="G24" s="18">
        <v>920940.68</v>
      </c>
      <c r="H24" s="18">
        <v>582378.68999999994</v>
      </c>
      <c r="I24" s="18">
        <v>819141.1</v>
      </c>
      <c r="J24" s="18">
        <v>1164016.8899999999</v>
      </c>
      <c r="K24" s="18">
        <v>1004344.07</v>
      </c>
      <c r="L24" s="18">
        <v>734049.21</v>
      </c>
      <c r="M24" s="18">
        <v>1081814.17</v>
      </c>
      <c r="N24" s="31">
        <f>SUM(B24:M24)</f>
        <v>10298726.679999998</v>
      </c>
      <c r="O24" s="18">
        <v>16644393.756478012</v>
      </c>
      <c r="P24" s="16">
        <f>+O24/12*$R$20</f>
        <v>16644393.756478012</v>
      </c>
      <c r="Q24" s="16">
        <f t="shared" si="9"/>
        <v>-6345667.0764780138</v>
      </c>
      <c r="R24" s="17">
        <f t="shared" si="11"/>
        <v>0.85057671069323249</v>
      </c>
    </row>
    <row r="25" spans="1:18" x14ac:dyDescent="0.25">
      <c r="A25" s="21" t="s">
        <v>36</v>
      </c>
      <c r="B25" s="16">
        <f>+B26+B28</f>
        <v>241975.27</v>
      </c>
      <c r="C25" s="16">
        <f t="shared" ref="C25:N25" si="12">+C26+C28</f>
        <v>1180688.48</v>
      </c>
      <c r="D25" s="16">
        <f t="shared" si="12"/>
        <v>991867.74</v>
      </c>
      <c r="E25" s="16">
        <f t="shared" si="12"/>
        <v>2356614.14</v>
      </c>
      <c r="F25" s="16">
        <f t="shared" si="12"/>
        <v>1756613.95</v>
      </c>
      <c r="G25" s="16">
        <f t="shared" si="12"/>
        <v>1639216.1</v>
      </c>
      <c r="H25" s="16">
        <f t="shared" si="12"/>
        <v>1925805.68</v>
      </c>
      <c r="I25" s="16">
        <f t="shared" si="12"/>
        <v>1483827.4500000002</v>
      </c>
      <c r="J25" s="16">
        <f>+J26+J28</f>
        <v>1467444.33</v>
      </c>
      <c r="K25" s="16">
        <f t="shared" si="12"/>
        <v>1860763.27</v>
      </c>
      <c r="L25" s="16">
        <f t="shared" si="12"/>
        <v>1490181.05</v>
      </c>
      <c r="M25" s="16">
        <f t="shared" si="12"/>
        <v>2381248.27</v>
      </c>
      <c r="N25" s="16">
        <f t="shared" si="12"/>
        <v>18776245.73</v>
      </c>
      <c r="O25" s="16">
        <f>+O26+O28</f>
        <v>19251786.037759099</v>
      </c>
      <c r="P25" s="16">
        <f>+P26+P28</f>
        <v>19251786.037759099</v>
      </c>
      <c r="Q25" s="16">
        <f>+N25-P25</f>
        <v>-475540.30775909871</v>
      </c>
      <c r="R25" s="17">
        <f t="shared" si="11"/>
        <v>0.6187504832365387</v>
      </c>
    </row>
    <row r="26" spans="1:18" x14ac:dyDescent="0.25">
      <c r="A26" s="20" t="s">
        <v>37</v>
      </c>
      <c r="B26" s="18">
        <v>0</v>
      </c>
      <c r="C26" s="18">
        <v>738284.85</v>
      </c>
      <c r="D26" s="18">
        <v>691457.51</v>
      </c>
      <c r="E26" s="18">
        <v>687968.07</v>
      </c>
      <c r="F26" s="18">
        <v>825163.25</v>
      </c>
      <c r="G26" s="18">
        <v>866663.2</v>
      </c>
      <c r="H26" s="18">
        <v>1076288.99</v>
      </c>
      <c r="I26" s="18">
        <v>1094399.8500000001</v>
      </c>
      <c r="J26" s="18">
        <v>1096702.8</v>
      </c>
      <c r="K26" s="18">
        <v>970310.6</v>
      </c>
      <c r="L26" s="18">
        <v>945544.56</v>
      </c>
      <c r="M26" s="18">
        <v>1575929.07</v>
      </c>
      <c r="N26" s="31">
        <f>SUM(B26:M26)</f>
        <v>10568712.75</v>
      </c>
      <c r="O26" s="18">
        <v>7698992.9720000029</v>
      </c>
      <c r="P26" s="16">
        <f>+O26/12*$R$20</f>
        <v>7698992.9720000029</v>
      </c>
      <c r="Q26" s="16">
        <f t="shared" si="9"/>
        <v>2869719.7779999971</v>
      </c>
      <c r="R26" s="17">
        <f t="shared" si="11"/>
        <v>0.97529889918647505</v>
      </c>
    </row>
    <row r="27" spans="1:18" x14ac:dyDescent="0.25">
      <c r="A27" s="20" t="s">
        <v>38</v>
      </c>
      <c r="B27" s="18">
        <v>0</v>
      </c>
      <c r="C27" s="18">
        <f>541330.69+180883.58</f>
        <v>722214.2699999999</v>
      </c>
      <c r="D27" s="18">
        <f>162270.05+515882.3</f>
        <v>678152.35</v>
      </c>
      <c r="E27" s="18">
        <f>494204.53+180321.68</f>
        <v>674526.21</v>
      </c>
      <c r="F27" s="18">
        <f>625713+186245</f>
        <v>811958</v>
      </c>
      <c r="G27" s="18">
        <f>668921.14+194146.73</f>
        <v>863067.87</v>
      </c>
      <c r="H27" s="18">
        <f>220808.77+836075.53</f>
        <v>1056884.3</v>
      </c>
      <c r="I27" s="18">
        <f>858744.7+212595.94</f>
        <v>1071340.6399999999</v>
      </c>
      <c r="J27" s="18">
        <f>904411.61+178777.66</f>
        <v>1083189.27</v>
      </c>
      <c r="K27" s="18">
        <f>949662</f>
        <v>949662</v>
      </c>
      <c r="L27" s="18">
        <f>765967.17+159884.84</f>
        <v>925852.01</v>
      </c>
      <c r="M27" s="18">
        <f>1194304.58+352715.94</f>
        <v>1547020.52</v>
      </c>
      <c r="N27" s="31">
        <f>SUM(B27:M27)</f>
        <v>10383867.439999999</v>
      </c>
      <c r="O27" s="25"/>
      <c r="P27" s="16"/>
      <c r="Q27" s="16"/>
      <c r="R27" s="17"/>
    </row>
    <row r="28" spans="1:18" x14ac:dyDescent="0.25">
      <c r="A28" s="20" t="s">
        <v>39</v>
      </c>
      <c r="B28" s="18">
        <v>241975.27</v>
      </c>
      <c r="C28" s="18">
        <v>442403.63</v>
      </c>
      <c r="D28" s="18">
        <f>991867.74-D26</f>
        <v>300410.23</v>
      </c>
      <c r="E28" s="18">
        <f>2356614.14-E26</f>
        <v>1668646.0700000003</v>
      </c>
      <c r="F28" s="18">
        <f>1756613.95-F26</f>
        <v>931450.7</v>
      </c>
      <c r="G28" s="18">
        <f>1639216.1-G26</f>
        <v>772552.90000000014</v>
      </c>
      <c r="H28" s="18">
        <f>1925805.68-H26</f>
        <v>849516.69</v>
      </c>
      <c r="I28" s="18">
        <v>389427.6</v>
      </c>
      <c r="J28" s="18">
        <v>370741.53</v>
      </c>
      <c r="K28" s="18">
        <f>1860763.27-K26</f>
        <v>890452.67</v>
      </c>
      <c r="L28" s="18">
        <f>1490181.05-L26</f>
        <v>544636.49</v>
      </c>
      <c r="M28" s="18">
        <f>2381248.27-M26</f>
        <v>805319.2</v>
      </c>
      <c r="N28" s="31">
        <f>SUM(B28:M28)</f>
        <v>8207532.9800000004</v>
      </c>
      <c r="O28" s="18">
        <v>11552793.065759096</v>
      </c>
      <c r="P28" s="16">
        <f>+O28/12*$R$20</f>
        <v>11552793.065759096</v>
      </c>
      <c r="Q28" s="16">
        <f t="shared" si="9"/>
        <v>-3345260.0857590958</v>
      </c>
      <c r="R28" s="17">
        <f>+N26/O26</f>
        <v>1.3727396282132878</v>
      </c>
    </row>
    <row r="29" spans="1:18" x14ac:dyDescent="0.25">
      <c r="A29" s="21" t="s">
        <v>40</v>
      </c>
      <c r="B29" s="18">
        <v>1381354.84</v>
      </c>
      <c r="C29" s="18">
        <v>971205.7</v>
      </c>
      <c r="D29" s="18">
        <v>1192426.5</v>
      </c>
      <c r="E29" s="18">
        <v>613338.68999999994</v>
      </c>
      <c r="F29" s="18">
        <v>1650020.2</v>
      </c>
      <c r="G29" s="18">
        <v>1149107.4099999999</v>
      </c>
      <c r="H29" s="18">
        <v>1128302.25</v>
      </c>
      <c r="I29" s="18">
        <v>1145258.8</v>
      </c>
      <c r="J29" s="18">
        <v>1098213.33</v>
      </c>
      <c r="K29" s="18">
        <v>1189653.03</v>
      </c>
      <c r="L29" s="18">
        <v>2092443.41</v>
      </c>
      <c r="M29" s="18">
        <v>1687592.58</v>
      </c>
      <c r="N29" s="31">
        <f>SUM(B29:M29)</f>
        <v>15298916.74</v>
      </c>
      <c r="O29" s="18">
        <v>14410843.589098498</v>
      </c>
      <c r="P29" s="16">
        <f>+O29/12*$R$20</f>
        <v>14410843.589098498</v>
      </c>
      <c r="Q29" s="16">
        <f t="shared" si="9"/>
        <v>888073.150901502</v>
      </c>
      <c r="R29" s="17">
        <f t="shared" si="11"/>
        <v>0.71043711536096055</v>
      </c>
    </row>
    <row r="30" spans="1:18" x14ac:dyDescent="0.25">
      <c r="A30" s="21" t="s">
        <v>41</v>
      </c>
      <c r="B30" s="18">
        <v>922083.22</v>
      </c>
      <c r="C30" s="18">
        <v>924670.07</v>
      </c>
      <c r="D30" s="18">
        <v>924457.89</v>
      </c>
      <c r="E30" s="18">
        <v>920445.47</v>
      </c>
      <c r="F30" s="18">
        <v>917486.98</v>
      </c>
      <c r="G30" s="18">
        <v>917483.62</v>
      </c>
      <c r="H30" s="18">
        <v>919667.34</v>
      </c>
      <c r="I30" s="18">
        <v>920933.66</v>
      </c>
      <c r="J30" s="18">
        <v>920691.54</v>
      </c>
      <c r="K30" s="18">
        <v>914511.29</v>
      </c>
      <c r="L30" s="18">
        <v>915760.55</v>
      </c>
      <c r="M30" s="18">
        <v>1003962.78</v>
      </c>
      <c r="N30" s="31">
        <f>SUM(B30:M30)</f>
        <v>11122154.410000002</v>
      </c>
      <c r="O30" s="18">
        <v>0</v>
      </c>
      <c r="P30" s="16">
        <f>+O30/12*$R$20</f>
        <v>0</v>
      </c>
      <c r="Q30" s="16">
        <f t="shared" si="9"/>
        <v>11122154.410000002</v>
      </c>
      <c r="R30" s="17">
        <f t="shared" si="11"/>
        <v>1.0616253410434147</v>
      </c>
    </row>
    <row r="31" spans="1:18" x14ac:dyDescent="0.25">
      <c r="A31" s="32" t="s">
        <v>42</v>
      </c>
      <c r="B31" s="29">
        <f>+B10-B22</f>
        <v>3503643.1700000009</v>
      </c>
      <c r="C31" s="29">
        <f t="shared" ref="C31:N31" si="13">+C10-C22</f>
        <v>1453771.38</v>
      </c>
      <c r="D31" s="29">
        <f t="shared" si="13"/>
        <v>1596536.75</v>
      </c>
      <c r="E31" s="29">
        <f t="shared" si="13"/>
        <v>486518.93000000063</v>
      </c>
      <c r="F31" s="29">
        <f t="shared" si="13"/>
        <v>636122.37999999896</v>
      </c>
      <c r="G31" s="29">
        <f t="shared" si="13"/>
        <v>135795.38999999966</v>
      </c>
      <c r="H31" s="29">
        <f t="shared" si="13"/>
        <v>1772956.5800000019</v>
      </c>
      <c r="I31" s="29">
        <f t="shared" si="13"/>
        <v>1200433.3699999992</v>
      </c>
      <c r="J31" s="29">
        <f t="shared" si="13"/>
        <v>1819824.6799999978</v>
      </c>
      <c r="K31" s="29">
        <f t="shared" si="13"/>
        <v>344016.10000000149</v>
      </c>
      <c r="L31" s="29">
        <f t="shared" si="13"/>
        <v>2853212.8900000015</v>
      </c>
      <c r="M31" s="29">
        <f t="shared" si="13"/>
        <v>3063117.8900000015</v>
      </c>
      <c r="N31" s="29">
        <f t="shared" si="13"/>
        <v>18865949.510000005</v>
      </c>
      <c r="O31" s="29">
        <f>+O10-O22</f>
        <v>12440507.034799248</v>
      </c>
      <c r="P31" s="29">
        <f>+P10-P22</f>
        <v>12440507.034799263</v>
      </c>
      <c r="Q31" s="29">
        <f>+N31-P31</f>
        <v>6425442.4752007425</v>
      </c>
      <c r="R31" s="14">
        <f>+N31/O31</f>
        <v>1.5164936169584702</v>
      </c>
    </row>
    <row r="32" spans="1:18" x14ac:dyDescent="0.25">
      <c r="A32" s="24" t="s">
        <v>43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6">
        <f>SUM(B32:M32)</f>
        <v>0</v>
      </c>
      <c r="O32" s="18"/>
      <c r="P32" s="16">
        <f>+O32/12*$R$20</f>
        <v>0</v>
      </c>
      <c r="Q32" s="16">
        <f>+N32-P32</f>
        <v>0</v>
      </c>
      <c r="R32" s="17" t="e">
        <f>+N32/O32</f>
        <v>#DIV/0!</v>
      </c>
    </row>
    <row r="33" spans="1:18" x14ac:dyDescent="0.25">
      <c r="A33" s="24" t="s">
        <v>44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89526.12</v>
      </c>
      <c r="H33" s="18">
        <v>215439.64</v>
      </c>
      <c r="I33" s="18">
        <v>692692.96</v>
      </c>
      <c r="J33" s="18">
        <v>1745167.67</v>
      </c>
      <c r="K33" s="18">
        <f>148885+68994.12</f>
        <v>217879.12</v>
      </c>
      <c r="L33" s="18">
        <f>2531459.12</f>
        <v>2531459.12</v>
      </c>
      <c r="M33" s="18">
        <v>16773014.869999999</v>
      </c>
      <c r="N33" s="16"/>
      <c r="O33" s="18"/>
      <c r="P33" s="16"/>
      <c r="Q33" s="16">
        <f>+N33-P33</f>
        <v>0</v>
      </c>
      <c r="R33" s="17" t="e">
        <f>+N33/O33</f>
        <v>#DIV/0!</v>
      </c>
    </row>
    <row r="34" spans="1:18" x14ac:dyDescent="0.25">
      <c r="A34" s="32" t="s">
        <v>45</v>
      </c>
      <c r="B34" s="29">
        <f>+B31-B32-B33</f>
        <v>3503643.1700000009</v>
      </c>
      <c r="C34" s="29">
        <f t="shared" ref="C34:N34" si="14">+C31-C32-C33</f>
        <v>1453771.38</v>
      </c>
      <c r="D34" s="29">
        <f t="shared" si="14"/>
        <v>1596536.75</v>
      </c>
      <c r="E34" s="29">
        <f t="shared" si="14"/>
        <v>486518.93000000063</v>
      </c>
      <c r="F34" s="29">
        <f t="shared" si="14"/>
        <v>636122.37999999896</v>
      </c>
      <c r="G34" s="29">
        <f t="shared" si="14"/>
        <v>46269.269999999669</v>
      </c>
      <c r="H34" s="29">
        <f t="shared" si="14"/>
        <v>1557516.9400000018</v>
      </c>
      <c r="I34" s="29">
        <f t="shared" si="14"/>
        <v>507740.40999999922</v>
      </c>
      <c r="J34" s="29">
        <f t="shared" si="14"/>
        <v>74657.009999997914</v>
      </c>
      <c r="K34" s="29">
        <f t="shared" si="14"/>
        <v>126136.98000000149</v>
      </c>
      <c r="L34" s="29">
        <f t="shared" si="14"/>
        <v>321753.77000000142</v>
      </c>
      <c r="M34" s="29">
        <f t="shared" si="14"/>
        <v>-13709896.979999997</v>
      </c>
      <c r="N34" s="29">
        <f t="shared" si="14"/>
        <v>18865949.510000005</v>
      </c>
      <c r="O34" s="29">
        <f>+O31-O32-O33</f>
        <v>12440507.034799248</v>
      </c>
      <c r="P34" s="29">
        <f t="shared" ref="P34" si="15">+P31-P32-P33</f>
        <v>12440507.034799263</v>
      </c>
      <c r="Q34" s="29">
        <f>+N34-P34</f>
        <v>6425442.4752007425</v>
      </c>
      <c r="R34" s="14" t="e">
        <f t="shared" si="11"/>
        <v>#DIV/0!</v>
      </c>
    </row>
    <row r="35" spans="1:18" s="37" customFormat="1" x14ac:dyDescent="0.25">
      <c r="A35" s="33" t="s">
        <v>46</v>
      </c>
      <c r="B35" s="34">
        <v>0</v>
      </c>
      <c r="C35" s="34">
        <v>0</v>
      </c>
      <c r="D35" s="34">
        <v>0</v>
      </c>
      <c r="E35" s="34">
        <v>0</v>
      </c>
      <c r="F35" s="34"/>
      <c r="G35" s="34"/>
      <c r="H35" s="34"/>
      <c r="I35" s="34"/>
      <c r="J35" s="34"/>
      <c r="K35" s="34"/>
      <c r="L35" s="34"/>
      <c r="M35" s="34"/>
      <c r="N35" s="34">
        <f>SUM(B35:M35)</f>
        <v>0</v>
      </c>
      <c r="O35" s="34"/>
      <c r="P35" s="35"/>
      <c r="Q35" s="35"/>
      <c r="R35" s="36"/>
    </row>
    <row r="36" spans="1:18" x14ac:dyDescent="0.25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</row>
    <row r="37" spans="1:18" ht="15.75" x14ac:dyDescent="0.25">
      <c r="A37" s="12" t="s">
        <v>47</v>
      </c>
      <c r="B37" s="41">
        <v>36871968.509999998</v>
      </c>
      <c r="C37" s="41">
        <v>38005168.240000002</v>
      </c>
      <c r="D37" s="41">
        <v>38125433.270000003</v>
      </c>
      <c r="E37" s="41">
        <v>39759793.260000005</v>
      </c>
      <c r="F37" s="41">
        <v>41659159.75</v>
      </c>
      <c r="G37" s="41">
        <v>43768801.829999998</v>
      </c>
      <c r="H37" s="41">
        <v>46784270.630000003</v>
      </c>
      <c r="I37" s="41">
        <v>48610268.68</v>
      </c>
      <c r="J37" s="41">
        <v>49966084.43</v>
      </c>
      <c r="K37" s="41">
        <v>51803351.479999997</v>
      </c>
      <c r="L37" s="41">
        <v>50519289.560000002</v>
      </c>
      <c r="M37" s="41">
        <v>49693343.710000001</v>
      </c>
      <c r="N37" s="42"/>
      <c r="O37" s="43"/>
      <c r="P37" s="43"/>
      <c r="Q37" s="43"/>
      <c r="R37" s="44"/>
    </row>
    <row r="38" spans="1:18" ht="15.75" x14ac:dyDescent="0.25">
      <c r="A38" s="28" t="s">
        <v>48</v>
      </c>
      <c r="B38" s="18">
        <v>179287.41</v>
      </c>
      <c r="C38" s="18">
        <v>326263.77</v>
      </c>
      <c r="D38" s="18">
        <v>499651.72</v>
      </c>
      <c r="E38" s="18">
        <v>156531.10999999999</v>
      </c>
      <c r="F38" s="18">
        <v>346112.21</v>
      </c>
      <c r="G38" s="18">
        <v>531271.09</v>
      </c>
      <c r="H38" s="18">
        <v>207392.75</v>
      </c>
      <c r="I38" s="18">
        <v>412732.55</v>
      </c>
      <c r="J38" s="18">
        <v>606370.85</v>
      </c>
      <c r="K38" s="18">
        <v>211747.89</v>
      </c>
      <c r="L38" s="18">
        <v>405425.41</v>
      </c>
      <c r="M38" s="18">
        <v>183358.94</v>
      </c>
      <c r="N38" s="16">
        <f>SUM(B38:M38)</f>
        <v>4066145.7</v>
      </c>
      <c r="O38" s="18">
        <v>2063089.320850034</v>
      </c>
      <c r="P38" s="16">
        <f>+O38/12*$R$20</f>
        <v>2063089.3208500342</v>
      </c>
      <c r="Q38" s="16">
        <f t="shared" ref="Q38:Q39" si="16">+N38-P38</f>
        <v>2003056.3791499659</v>
      </c>
      <c r="R38" s="17">
        <f>+N38/O38</f>
        <v>1.970901433547563</v>
      </c>
    </row>
    <row r="39" spans="1:18" ht="15.75" x14ac:dyDescent="0.25">
      <c r="A39" s="45" t="s">
        <v>49</v>
      </c>
      <c r="B39" s="46">
        <v>380160.66</v>
      </c>
      <c r="C39" s="46">
        <v>378320.16</v>
      </c>
      <c r="D39" s="46">
        <v>353450.37</v>
      </c>
      <c r="E39" s="46">
        <v>385988.81</v>
      </c>
      <c r="F39" s="46">
        <v>331632.75</v>
      </c>
      <c r="G39" s="46">
        <v>405744.25</v>
      </c>
      <c r="H39" s="46">
        <v>396486.81</v>
      </c>
      <c r="I39" s="46">
        <v>418657.18</v>
      </c>
      <c r="J39" s="46">
        <v>396554.32</v>
      </c>
      <c r="K39" s="46">
        <v>409615.6</v>
      </c>
      <c r="L39" s="46">
        <v>428284.84</v>
      </c>
      <c r="M39" s="46">
        <v>907894.48</v>
      </c>
      <c r="N39" s="47">
        <f>SUM(B39:M39)</f>
        <v>5192790.2300000004</v>
      </c>
      <c r="O39" s="46">
        <v>4281510.2358398931</v>
      </c>
      <c r="P39" s="47">
        <f>+O39/12*$R$20</f>
        <v>4281510.2358398931</v>
      </c>
      <c r="Q39" s="47">
        <f t="shared" si="16"/>
        <v>911279.99416010734</v>
      </c>
      <c r="R39" s="17">
        <f>+N39/O39</f>
        <v>1.2128407837337201</v>
      </c>
    </row>
    <row r="40" spans="1:18" x14ac:dyDescent="0.25">
      <c r="A40" s="4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9"/>
    </row>
    <row r="41" spans="1:18" ht="15.75" x14ac:dyDescent="0.25">
      <c r="A41" s="12" t="s">
        <v>50</v>
      </c>
      <c r="B41" s="13">
        <f>+B42+B43+B44</f>
        <v>326923</v>
      </c>
      <c r="C41" s="13">
        <f t="shared" ref="C41:N41" si="17">+C42+C43+C44</f>
        <v>291966</v>
      </c>
      <c r="D41" s="13">
        <f t="shared" si="17"/>
        <v>297787</v>
      </c>
      <c r="E41" s="13">
        <f t="shared" si="17"/>
        <v>416256</v>
      </c>
      <c r="F41" s="13">
        <f t="shared" si="17"/>
        <v>369657</v>
      </c>
      <c r="G41" s="13">
        <f t="shared" si="17"/>
        <v>448156</v>
      </c>
      <c r="H41" s="13">
        <f t="shared" si="17"/>
        <v>453040</v>
      </c>
      <c r="I41" s="13">
        <f t="shared" si="17"/>
        <v>459325</v>
      </c>
      <c r="J41" s="13">
        <f t="shared" si="17"/>
        <v>405958</v>
      </c>
      <c r="K41" s="13">
        <f t="shared" si="17"/>
        <v>388207</v>
      </c>
      <c r="L41" s="13">
        <f t="shared" si="17"/>
        <v>362735</v>
      </c>
      <c r="M41" s="13">
        <f t="shared" si="17"/>
        <v>276961</v>
      </c>
      <c r="N41" s="13">
        <f t="shared" si="17"/>
        <v>4496971</v>
      </c>
      <c r="O41" s="50"/>
      <c r="P41" s="50"/>
      <c r="Q41" s="50"/>
      <c r="R41" s="51"/>
    </row>
    <row r="42" spans="1:18" x14ac:dyDescent="0.25">
      <c r="A42" s="24" t="s">
        <v>51</v>
      </c>
      <c r="B42" s="18">
        <v>243667</v>
      </c>
      <c r="C42" s="18">
        <v>219767</v>
      </c>
      <c r="D42" s="18">
        <v>217427</v>
      </c>
      <c r="E42" s="18">
        <v>333817</v>
      </c>
      <c r="F42" s="18">
        <v>285556</v>
      </c>
      <c r="G42" s="18">
        <v>357460</v>
      </c>
      <c r="H42" s="18">
        <v>368314</v>
      </c>
      <c r="I42" s="18">
        <v>386921</v>
      </c>
      <c r="J42" s="18">
        <v>338281</v>
      </c>
      <c r="K42" s="18">
        <v>319907</v>
      </c>
      <c r="L42" s="18">
        <v>291295</v>
      </c>
      <c r="M42" s="18">
        <v>199241</v>
      </c>
      <c r="N42" s="16">
        <f>SUM(B42:M42)</f>
        <v>3561653</v>
      </c>
      <c r="O42" s="25"/>
      <c r="P42" s="25"/>
      <c r="Q42" s="25"/>
      <c r="R42" s="52"/>
    </row>
    <row r="43" spans="1:18" x14ac:dyDescent="0.25">
      <c r="A43" s="24" t="s">
        <v>52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/>
      <c r="N43" s="16">
        <f>SUM(B43:M43)</f>
        <v>0</v>
      </c>
      <c r="O43" s="25"/>
      <c r="P43" s="25"/>
      <c r="Q43" s="25"/>
      <c r="R43" s="52"/>
    </row>
    <row r="44" spans="1:18" x14ac:dyDescent="0.25">
      <c r="A44" s="24" t="s">
        <v>53</v>
      </c>
      <c r="B44" s="18">
        <v>83256</v>
      </c>
      <c r="C44" s="18">
        <v>72199</v>
      </c>
      <c r="D44" s="18">
        <v>80360</v>
      </c>
      <c r="E44" s="18">
        <v>82439</v>
      </c>
      <c r="F44" s="18">
        <v>84101</v>
      </c>
      <c r="G44" s="18">
        <v>90696</v>
      </c>
      <c r="H44" s="18">
        <v>84726</v>
      </c>
      <c r="I44" s="18">
        <v>72404</v>
      </c>
      <c r="J44" s="18">
        <v>67677</v>
      </c>
      <c r="K44" s="18">
        <v>68300</v>
      </c>
      <c r="L44" s="18">
        <v>71440</v>
      </c>
      <c r="M44" s="18">
        <v>77720</v>
      </c>
      <c r="N44" s="16">
        <f>SUM(B44:M44)</f>
        <v>935318</v>
      </c>
      <c r="O44" s="25"/>
      <c r="P44" s="25"/>
      <c r="Q44" s="25"/>
      <c r="R44" s="52"/>
    </row>
    <row r="45" spans="1:18" x14ac:dyDescent="0.2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52"/>
    </row>
    <row r="46" spans="1:18" ht="15.75" x14ac:dyDescent="0.25">
      <c r="A46" s="12" t="s">
        <v>54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1"/>
    </row>
    <row r="47" spans="1:18" x14ac:dyDescent="0.25">
      <c r="A47" s="53" t="s">
        <v>55</v>
      </c>
      <c r="B47" s="18" t="s">
        <v>56</v>
      </c>
      <c r="C47" s="18" t="s">
        <v>56</v>
      </c>
      <c r="D47" s="18" t="s">
        <v>56</v>
      </c>
      <c r="E47" s="18" t="s">
        <v>56</v>
      </c>
      <c r="F47" s="18" t="s">
        <v>56</v>
      </c>
      <c r="G47" s="18" t="s">
        <v>56</v>
      </c>
      <c r="H47" s="18" t="s">
        <v>56</v>
      </c>
      <c r="I47" s="18" t="s">
        <v>56</v>
      </c>
      <c r="J47" s="18" t="s">
        <v>56</v>
      </c>
      <c r="K47" s="18" t="s">
        <v>56</v>
      </c>
      <c r="L47" s="18" t="s">
        <v>56</v>
      </c>
      <c r="M47" s="18" t="s">
        <v>56</v>
      </c>
      <c r="N47" s="16">
        <f>SUM(B47:M47)</f>
        <v>0</v>
      </c>
      <c r="O47" s="25"/>
      <c r="P47" s="25"/>
      <c r="Q47" s="25"/>
      <c r="R47" s="52"/>
    </row>
    <row r="48" spans="1:18" x14ac:dyDescent="0.25">
      <c r="A48" s="53" t="s">
        <v>57</v>
      </c>
      <c r="B48" s="18" t="s">
        <v>56</v>
      </c>
      <c r="C48" s="18" t="s">
        <v>56</v>
      </c>
      <c r="D48" s="18" t="s">
        <v>56</v>
      </c>
      <c r="E48" s="18" t="s">
        <v>56</v>
      </c>
      <c r="F48" s="18" t="s">
        <v>56</v>
      </c>
      <c r="G48" s="18" t="s">
        <v>56</v>
      </c>
      <c r="H48" s="18" t="s">
        <v>56</v>
      </c>
      <c r="I48" s="18" t="s">
        <v>56</v>
      </c>
      <c r="J48" s="18" t="s">
        <v>56</v>
      </c>
      <c r="K48" s="18" t="s">
        <v>56</v>
      </c>
      <c r="L48" s="18" t="s">
        <v>56</v>
      </c>
      <c r="M48" s="18" t="s">
        <v>56</v>
      </c>
      <c r="N48" s="16">
        <f>SUM(B48:M48)</f>
        <v>0</v>
      </c>
      <c r="O48" s="25"/>
      <c r="P48" s="25"/>
      <c r="Q48" s="25"/>
      <c r="R48" s="52"/>
    </row>
    <row r="49" spans="1:18" x14ac:dyDescent="0.25">
      <c r="A49" s="53" t="s">
        <v>58</v>
      </c>
      <c r="B49" s="18" t="s">
        <v>56</v>
      </c>
      <c r="C49" s="18" t="s">
        <v>56</v>
      </c>
      <c r="D49" s="18" t="s">
        <v>56</v>
      </c>
      <c r="E49" s="18" t="s">
        <v>56</v>
      </c>
      <c r="F49" s="18" t="s">
        <v>56</v>
      </c>
      <c r="G49" s="18" t="s">
        <v>56</v>
      </c>
      <c r="H49" s="18" t="s">
        <v>56</v>
      </c>
      <c r="I49" s="18" t="s">
        <v>56</v>
      </c>
      <c r="J49" s="18" t="s">
        <v>56</v>
      </c>
      <c r="K49" s="18" t="s">
        <v>56</v>
      </c>
      <c r="L49" s="18" t="s">
        <v>56</v>
      </c>
      <c r="M49" s="18" t="s">
        <v>56</v>
      </c>
      <c r="N49" s="16">
        <f>SUM(B49:M49)</f>
        <v>0</v>
      </c>
      <c r="O49" s="25"/>
      <c r="P49" s="25"/>
      <c r="Q49" s="25"/>
      <c r="R49" s="52"/>
    </row>
    <row r="50" spans="1:18" x14ac:dyDescent="0.25">
      <c r="A50" s="54" t="s">
        <v>59</v>
      </c>
      <c r="B50" s="16">
        <f>SUM(B47:B49)</f>
        <v>0</v>
      </c>
      <c r="C50" s="16">
        <f t="shared" ref="C50:M50" si="18">SUM(C47:C49)</f>
        <v>0</v>
      </c>
      <c r="D50" s="16">
        <f t="shared" si="18"/>
        <v>0</v>
      </c>
      <c r="E50" s="16">
        <f t="shared" si="18"/>
        <v>0</v>
      </c>
      <c r="F50" s="16">
        <f t="shared" si="18"/>
        <v>0</v>
      </c>
      <c r="G50" s="16">
        <f t="shared" si="18"/>
        <v>0</v>
      </c>
      <c r="H50" s="16">
        <f t="shared" si="18"/>
        <v>0</v>
      </c>
      <c r="I50" s="16">
        <f t="shared" si="18"/>
        <v>0</v>
      </c>
      <c r="J50" s="16">
        <f t="shared" si="18"/>
        <v>0</v>
      </c>
      <c r="K50" s="16">
        <f t="shared" si="18"/>
        <v>0</v>
      </c>
      <c r="L50" s="16">
        <f t="shared" si="18"/>
        <v>0</v>
      </c>
      <c r="M50" s="16">
        <f t="shared" si="18"/>
        <v>0</v>
      </c>
      <c r="N50" s="16">
        <f>SUM(N47:N49)</f>
        <v>0</v>
      </c>
      <c r="O50" s="25"/>
      <c r="P50" s="25"/>
      <c r="Q50" s="25"/>
      <c r="R50" s="52"/>
    </row>
    <row r="51" spans="1:18" x14ac:dyDescent="0.25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52"/>
    </row>
    <row r="52" spans="1:18" ht="15.75" x14ac:dyDescent="0.25">
      <c r="A52" s="28" t="s">
        <v>60</v>
      </c>
      <c r="B52" s="55">
        <v>478122</v>
      </c>
      <c r="C52" s="55">
        <v>415705</v>
      </c>
      <c r="D52" s="55">
        <v>483185</v>
      </c>
      <c r="E52" s="55">
        <v>499929</v>
      </c>
      <c r="F52" s="55">
        <v>531662</v>
      </c>
      <c r="G52" s="55">
        <v>574549</v>
      </c>
      <c r="H52" s="55">
        <v>620812</v>
      </c>
      <c r="I52" s="55">
        <v>567363</v>
      </c>
      <c r="J52" s="55">
        <v>529397</v>
      </c>
      <c r="K52" s="55">
        <v>485028</v>
      </c>
      <c r="L52" s="55">
        <v>499206</v>
      </c>
      <c r="M52" s="55">
        <v>458854</v>
      </c>
      <c r="N52" s="29">
        <f>SUM(B52:M52)</f>
        <v>6143812</v>
      </c>
      <c r="O52" s="56"/>
      <c r="P52" s="56"/>
      <c r="Q52" s="56"/>
      <c r="R52" s="57"/>
    </row>
    <row r="53" spans="1:18" x14ac:dyDescent="0.25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52"/>
    </row>
    <row r="54" spans="1:18" ht="15.75" x14ac:dyDescent="0.25">
      <c r="A54" s="28" t="s">
        <v>61</v>
      </c>
      <c r="B54" s="29">
        <f>+B55+B56+B57+B58+B59</f>
        <v>280333</v>
      </c>
      <c r="C54" s="29">
        <f t="shared" ref="C54:N54" si="19">+C55+C56+C57+C58+C59</f>
        <v>306018</v>
      </c>
      <c r="D54" s="29">
        <f t="shared" si="19"/>
        <v>302349</v>
      </c>
      <c r="E54" s="29">
        <f t="shared" si="19"/>
        <v>312015</v>
      </c>
      <c r="F54" s="29">
        <f t="shared" si="19"/>
        <v>350215</v>
      </c>
      <c r="G54" s="29">
        <f t="shared" si="19"/>
        <v>353291</v>
      </c>
      <c r="H54" s="29">
        <f t="shared" si="19"/>
        <v>398526</v>
      </c>
      <c r="I54" s="29">
        <f t="shared" si="19"/>
        <v>386901</v>
      </c>
      <c r="J54" s="29">
        <f t="shared" si="19"/>
        <v>385917</v>
      </c>
      <c r="K54" s="29">
        <f t="shared" si="19"/>
        <v>337757</v>
      </c>
      <c r="L54" s="29">
        <f t="shared" si="19"/>
        <v>353373</v>
      </c>
      <c r="M54" s="29">
        <f t="shared" si="19"/>
        <v>276508</v>
      </c>
      <c r="N54" s="29">
        <f t="shared" si="19"/>
        <v>4043203</v>
      </c>
      <c r="O54" s="56"/>
      <c r="P54" s="56"/>
      <c r="Q54" s="56"/>
      <c r="R54" s="57"/>
    </row>
    <row r="55" spans="1:18" x14ac:dyDescent="0.25">
      <c r="A55" s="24" t="s">
        <v>62</v>
      </c>
      <c r="B55" s="18">
        <v>248860</v>
      </c>
      <c r="C55" s="18">
        <v>245628</v>
      </c>
      <c r="D55" s="18">
        <v>264872</v>
      </c>
      <c r="E55" s="18">
        <v>274405</v>
      </c>
      <c r="F55" s="18">
        <v>306455</v>
      </c>
      <c r="G55" s="18">
        <v>309489</v>
      </c>
      <c r="H55" s="18">
        <v>346469</v>
      </c>
      <c r="I55" s="18">
        <v>332636</v>
      </c>
      <c r="J55" s="18">
        <v>334652</v>
      </c>
      <c r="K55" s="18">
        <v>290464</v>
      </c>
      <c r="L55" s="18">
        <v>304987</v>
      </c>
      <c r="M55" s="18">
        <v>241870</v>
      </c>
      <c r="N55" s="16">
        <f>SUM(B55:M55)</f>
        <v>3500787</v>
      </c>
      <c r="O55" s="25"/>
      <c r="P55" s="25"/>
      <c r="Q55" s="25"/>
      <c r="R55" s="52"/>
    </row>
    <row r="56" spans="1:18" x14ac:dyDescent="0.25">
      <c r="A56" s="24" t="s">
        <v>63</v>
      </c>
      <c r="B56" s="18">
        <v>22677</v>
      </c>
      <c r="C56" s="18">
        <v>22466</v>
      </c>
      <c r="D56" s="18">
        <v>24776</v>
      </c>
      <c r="E56" s="18">
        <v>24959</v>
      </c>
      <c r="F56" s="18">
        <v>27614</v>
      </c>
      <c r="G56" s="18">
        <v>27730</v>
      </c>
      <c r="H56" s="18">
        <v>32139</v>
      </c>
      <c r="I56" s="18">
        <v>33595</v>
      </c>
      <c r="J56" s="18">
        <v>34540</v>
      </c>
      <c r="K56" s="18">
        <v>30064</v>
      </c>
      <c r="L56" s="18">
        <v>31013</v>
      </c>
      <c r="M56" s="18">
        <v>23724</v>
      </c>
      <c r="N56" s="16">
        <f>SUM(B56:M56)</f>
        <v>335297</v>
      </c>
      <c r="O56" s="25"/>
      <c r="P56" s="25"/>
      <c r="Q56" s="25"/>
      <c r="R56" s="52"/>
    </row>
    <row r="57" spans="1:18" x14ac:dyDescent="0.25">
      <c r="A57" s="24" t="s">
        <v>64</v>
      </c>
      <c r="B57" s="18">
        <v>2463</v>
      </c>
      <c r="C57" s="18">
        <v>2762</v>
      </c>
      <c r="D57" s="18">
        <v>3409</v>
      </c>
      <c r="E57" s="18">
        <v>3305</v>
      </c>
      <c r="F57" s="18">
        <v>4156</v>
      </c>
      <c r="G57" s="18">
        <v>4659</v>
      </c>
      <c r="H57" s="18">
        <v>5587</v>
      </c>
      <c r="I57" s="18">
        <v>6275</v>
      </c>
      <c r="J57" s="18">
        <v>5922</v>
      </c>
      <c r="K57" s="18">
        <v>5276</v>
      </c>
      <c r="L57" s="18">
        <v>5024</v>
      </c>
      <c r="M57" s="18">
        <v>3541</v>
      </c>
      <c r="N57" s="16">
        <f>SUM(B57:M57)</f>
        <v>52379</v>
      </c>
      <c r="O57" s="25"/>
      <c r="P57" s="25"/>
      <c r="Q57" s="25"/>
      <c r="R57" s="52"/>
    </row>
    <row r="58" spans="1:18" x14ac:dyDescent="0.25">
      <c r="A58" s="24" t="s">
        <v>65</v>
      </c>
      <c r="B58" s="18">
        <v>4126</v>
      </c>
      <c r="C58" s="18">
        <v>32079</v>
      </c>
      <c r="D58" s="18">
        <v>6107</v>
      </c>
      <c r="E58" s="18">
        <v>6791</v>
      </c>
      <c r="F58" s="18">
        <v>7801</v>
      </c>
      <c r="G58" s="18">
        <v>8618</v>
      </c>
      <c r="H58" s="18">
        <v>10230</v>
      </c>
      <c r="I58" s="18">
        <v>10608</v>
      </c>
      <c r="J58" s="18">
        <v>7268</v>
      </c>
      <c r="K58" s="18">
        <v>8896</v>
      </c>
      <c r="L58" s="18">
        <v>9261</v>
      </c>
      <c r="M58" s="18">
        <v>4941</v>
      </c>
      <c r="N58" s="16">
        <f>SUM(B58:M58)</f>
        <v>116726</v>
      </c>
      <c r="O58" s="25"/>
      <c r="P58" s="25"/>
      <c r="Q58" s="25"/>
      <c r="R58" s="52"/>
    </row>
    <row r="59" spans="1:18" x14ac:dyDescent="0.25">
      <c r="A59" s="24" t="s">
        <v>66</v>
      </c>
      <c r="B59" s="18">
        <v>2207</v>
      </c>
      <c r="C59" s="18">
        <v>3083</v>
      </c>
      <c r="D59" s="18">
        <v>3185</v>
      </c>
      <c r="E59" s="18">
        <v>2555</v>
      </c>
      <c r="F59" s="18">
        <v>4189</v>
      </c>
      <c r="G59" s="18">
        <v>2795</v>
      </c>
      <c r="H59" s="18">
        <v>4101</v>
      </c>
      <c r="I59" s="18">
        <v>3787</v>
      </c>
      <c r="J59" s="18">
        <v>3535</v>
      </c>
      <c r="K59" s="18">
        <v>3057</v>
      </c>
      <c r="L59" s="18">
        <v>3088</v>
      </c>
      <c r="M59" s="18">
        <v>2432</v>
      </c>
      <c r="N59" s="16">
        <f>SUM(B59:M59)</f>
        <v>38014</v>
      </c>
      <c r="O59" s="25"/>
      <c r="P59" s="25"/>
      <c r="Q59" s="25"/>
      <c r="R59" s="52"/>
    </row>
    <row r="60" spans="1:18" x14ac:dyDescent="0.25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52"/>
    </row>
    <row r="61" spans="1:18" ht="15.75" x14ac:dyDescent="0.25">
      <c r="A61" s="28" t="s">
        <v>67</v>
      </c>
      <c r="B61" s="29">
        <f>+B62+B63</f>
        <v>266374</v>
      </c>
      <c r="C61" s="29">
        <f t="shared" ref="C61:N61" si="20">+C62+C63</f>
        <v>227703</v>
      </c>
      <c r="D61" s="29">
        <f t="shared" si="20"/>
        <v>285420</v>
      </c>
      <c r="E61" s="29">
        <f t="shared" si="20"/>
        <v>239875</v>
      </c>
      <c r="F61" s="29">
        <f t="shared" si="20"/>
        <v>318947</v>
      </c>
      <c r="G61" s="29">
        <f t="shared" si="20"/>
        <v>307949</v>
      </c>
      <c r="H61" s="29">
        <f t="shared" si="20"/>
        <v>341688</v>
      </c>
      <c r="I61" s="29">
        <f t="shared" si="20"/>
        <v>324862</v>
      </c>
      <c r="J61" s="29">
        <f t="shared" si="20"/>
        <v>314679</v>
      </c>
      <c r="K61" s="29">
        <f t="shared" si="20"/>
        <v>300566</v>
      </c>
      <c r="L61" s="29">
        <f t="shared" si="20"/>
        <v>291537</v>
      </c>
      <c r="M61" s="29">
        <f t="shared" si="20"/>
        <v>253979</v>
      </c>
      <c r="N61" s="29">
        <f t="shared" si="20"/>
        <v>3473579</v>
      </c>
      <c r="O61" s="56"/>
      <c r="P61" s="56"/>
      <c r="Q61" s="56"/>
      <c r="R61" s="57"/>
    </row>
    <row r="62" spans="1:18" x14ac:dyDescent="0.25">
      <c r="A62" s="24" t="s">
        <v>68</v>
      </c>
      <c r="B62" s="18">
        <v>228925</v>
      </c>
      <c r="C62" s="18">
        <v>201472</v>
      </c>
      <c r="D62" s="18">
        <v>250665</v>
      </c>
      <c r="E62" s="18">
        <v>210877</v>
      </c>
      <c r="F62" s="18">
        <v>281869</v>
      </c>
      <c r="G62" s="18">
        <v>271774</v>
      </c>
      <c r="H62" s="18">
        <v>305024</v>
      </c>
      <c r="I62" s="18">
        <v>285143</v>
      </c>
      <c r="J62" s="18">
        <v>276801</v>
      </c>
      <c r="K62" s="18">
        <v>259151</v>
      </c>
      <c r="L62" s="18">
        <v>258289</v>
      </c>
      <c r="M62" s="18">
        <v>219073</v>
      </c>
      <c r="N62" s="16">
        <f>SUM(B62:M62)</f>
        <v>3049063</v>
      </c>
      <c r="O62" s="25"/>
      <c r="P62" s="25"/>
      <c r="Q62" s="25"/>
      <c r="R62" s="52"/>
    </row>
    <row r="63" spans="1:18" x14ac:dyDescent="0.25">
      <c r="A63" s="24" t="s">
        <v>69</v>
      </c>
      <c r="B63" s="18">
        <v>37449</v>
      </c>
      <c r="C63" s="18">
        <v>26231</v>
      </c>
      <c r="D63" s="18">
        <v>34755</v>
      </c>
      <c r="E63" s="18">
        <v>28998</v>
      </c>
      <c r="F63" s="18">
        <v>37078</v>
      </c>
      <c r="G63" s="18">
        <v>36175</v>
      </c>
      <c r="H63" s="18">
        <v>36664</v>
      </c>
      <c r="I63" s="18">
        <v>39719</v>
      </c>
      <c r="J63" s="18">
        <v>37878</v>
      </c>
      <c r="K63" s="18">
        <v>41415</v>
      </c>
      <c r="L63" s="18">
        <v>33248</v>
      </c>
      <c r="M63" s="18">
        <v>34906</v>
      </c>
      <c r="N63" s="16">
        <f>SUM(B63:M63)</f>
        <v>424516</v>
      </c>
      <c r="O63" s="25"/>
      <c r="P63" s="25"/>
      <c r="Q63" s="25"/>
      <c r="R63" s="52"/>
    </row>
    <row r="64" spans="1:18" x14ac:dyDescent="0.25">
      <c r="A64" s="58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52"/>
    </row>
    <row r="65" spans="1:18" ht="15.75" x14ac:dyDescent="0.25">
      <c r="A65" s="28" t="s">
        <v>70</v>
      </c>
      <c r="B65" s="55">
        <v>265110</v>
      </c>
      <c r="C65" s="55">
        <v>225115</v>
      </c>
      <c r="D65" s="55">
        <v>231208</v>
      </c>
      <c r="E65" s="55">
        <v>254305</v>
      </c>
      <c r="F65" s="55">
        <v>245185</v>
      </c>
      <c r="G65" s="55">
        <v>248200</v>
      </c>
      <c r="H65" s="55">
        <v>252103</v>
      </c>
      <c r="I65" s="55">
        <v>250131</v>
      </c>
      <c r="J65" s="55">
        <v>240209</v>
      </c>
      <c r="K65" s="55">
        <v>252036</v>
      </c>
      <c r="L65" s="55">
        <v>249180</v>
      </c>
      <c r="M65" s="55">
        <v>242791</v>
      </c>
      <c r="N65" s="29">
        <f>SUM(B65:M65)</f>
        <v>2955573</v>
      </c>
      <c r="O65" s="56"/>
      <c r="P65" s="56"/>
      <c r="Q65" s="56"/>
      <c r="R65" s="57"/>
    </row>
    <row r="66" spans="1:18" ht="15.75" x14ac:dyDescent="0.25">
      <c r="A66" s="28" t="s">
        <v>71</v>
      </c>
      <c r="B66" s="55">
        <v>214476</v>
      </c>
      <c r="C66" s="55">
        <f>70000+111275</f>
        <v>181275</v>
      </c>
      <c r="D66" s="55">
        <f>80000+107869</f>
        <v>187869</v>
      </c>
      <c r="E66" s="55">
        <f>90000+100797</f>
        <v>190797</v>
      </c>
      <c r="F66" s="55">
        <f>95000+103761</f>
        <v>198761</v>
      </c>
      <c r="G66" s="55">
        <f>105000+113074</f>
        <v>218074</v>
      </c>
      <c r="H66" s="55">
        <f>108500+105016</f>
        <v>213516</v>
      </c>
      <c r="I66" s="55">
        <f>124000+80714</f>
        <v>204714</v>
      </c>
      <c r="J66" s="55">
        <f>135000+76379</f>
        <v>211379</v>
      </c>
      <c r="K66" s="55">
        <f>76496+139500</f>
        <v>215996</v>
      </c>
      <c r="L66" s="55">
        <f>96714+120000</f>
        <v>216714</v>
      </c>
      <c r="M66" s="55">
        <f>107753+93000</f>
        <v>200753</v>
      </c>
      <c r="N66" s="29">
        <f>SUM(B66:M66)</f>
        <v>2454324</v>
      </c>
      <c r="O66" s="56"/>
      <c r="P66" s="56"/>
      <c r="Q66" s="56"/>
      <c r="R66" s="57"/>
    </row>
    <row r="67" spans="1:18" x14ac:dyDescent="0.25">
      <c r="A67" s="58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52"/>
    </row>
    <row r="68" spans="1:18" ht="15.75" x14ac:dyDescent="0.25">
      <c r="A68" s="28" t="s">
        <v>72</v>
      </c>
      <c r="B68" s="29">
        <f>+B69+B70+B71+B72+B73</f>
        <v>6961235.1399999997</v>
      </c>
      <c r="C68" s="29">
        <f t="shared" ref="C68:N68" si="21">+C69+C70+C71+C72+C73</f>
        <v>7615515.9100000001</v>
      </c>
      <c r="D68" s="29">
        <f t="shared" si="21"/>
        <v>7357824.5099999988</v>
      </c>
      <c r="E68" s="29">
        <f t="shared" si="21"/>
        <v>7623823.3899999987</v>
      </c>
      <c r="F68" s="29">
        <f t="shared" si="21"/>
        <v>8314563.4200000009</v>
      </c>
      <c r="G68" s="29">
        <f t="shared" si="21"/>
        <v>8439662.7700000014</v>
      </c>
      <c r="H68" s="29">
        <f t="shared" si="21"/>
        <v>9486681.5099999998</v>
      </c>
      <c r="I68" s="29">
        <f t="shared" si="21"/>
        <v>9410637.4700000007</v>
      </c>
      <c r="J68" s="29">
        <f t="shared" si="21"/>
        <v>9503062.1300000008</v>
      </c>
      <c r="K68" s="29">
        <f t="shared" si="21"/>
        <v>8513676.9499999993</v>
      </c>
      <c r="L68" s="29">
        <f t="shared" si="21"/>
        <v>8869700.4799999986</v>
      </c>
      <c r="M68" s="29">
        <f t="shared" si="21"/>
        <v>7809315.54</v>
      </c>
      <c r="N68" s="29">
        <f t="shared" si="21"/>
        <v>81532936.609999985</v>
      </c>
      <c r="O68" s="56"/>
      <c r="P68" s="56"/>
      <c r="Q68" s="56"/>
      <c r="R68" s="57"/>
    </row>
    <row r="69" spans="1:18" x14ac:dyDescent="0.25">
      <c r="A69" s="24" t="s">
        <v>73</v>
      </c>
      <c r="B69" s="18">
        <v>5900684.2300000004</v>
      </c>
      <c r="C69" s="18">
        <v>5951090.7999999998</v>
      </c>
      <c r="D69" s="18">
        <v>6143398.0999999996</v>
      </c>
      <c r="E69" s="18">
        <v>6379555.8099999996</v>
      </c>
      <c r="F69" s="59">
        <v>6906994.6200000001</v>
      </c>
      <c r="G69" s="18">
        <v>7032073.0300000003</v>
      </c>
      <c r="H69" s="18">
        <v>7848735.6600000001</v>
      </c>
      <c r="I69" s="18">
        <v>7697903.3300000001</v>
      </c>
      <c r="J69" s="18" t="s">
        <v>74</v>
      </c>
      <c r="K69" s="18">
        <v>6944638.8200000003</v>
      </c>
      <c r="L69" s="18" t="s">
        <v>75</v>
      </c>
      <c r="M69" s="18">
        <v>6534446.04</v>
      </c>
      <c r="N69" s="16">
        <f>SUM(B69:M69)</f>
        <v>67339520.439999998</v>
      </c>
      <c r="O69" s="25"/>
      <c r="P69" s="25"/>
      <c r="Q69" s="25"/>
      <c r="R69" s="52"/>
    </row>
    <row r="70" spans="1:18" x14ac:dyDescent="0.25">
      <c r="A70" s="24" t="s">
        <v>76</v>
      </c>
      <c r="B70" s="18">
        <v>876308.16</v>
      </c>
      <c r="C70" s="18">
        <v>894070.21</v>
      </c>
      <c r="D70" s="18">
        <v>958152.52</v>
      </c>
      <c r="E70" s="18">
        <v>992699.72</v>
      </c>
      <c r="F70" s="18">
        <v>1064279.3799999999</v>
      </c>
      <c r="G70" s="18">
        <v>1072505.8600000001</v>
      </c>
      <c r="H70" s="18">
        <v>1199757.18</v>
      </c>
      <c r="I70" s="18">
        <v>1248288.23</v>
      </c>
      <c r="J70" s="18" t="s">
        <v>77</v>
      </c>
      <c r="K70" s="18">
        <v>1185429.42</v>
      </c>
      <c r="L70" s="18" t="s">
        <v>78</v>
      </c>
      <c r="M70" s="18">
        <v>1020865.56</v>
      </c>
      <c r="N70" s="16">
        <f>SUM(B70:M70)</f>
        <v>10512356.24</v>
      </c>
      <c r="O70" s="25"/>
      <c r="P70" s="25"/>
      <c r="Q70" s="25"/>
      <c r="R70" s="52"/>
    </row>
    <row r="71" spans="1:18" x14ac:dyDescent="0.25">
      <c r="A71" s="24" t="s">
        <v>79</v>
      </c>
      <c r="B71" s="18">
        <v>74530.14</v>
      </c>
      <c r="C71" s="18">
        <v>85735</v>
      </c>
      <c r="D71" s="59">
        <v>97670.6</v>
      </c>
      <c r="E71" s="18">
        <v>104088.35</v>
      </c>
      <c r="F71" s="18">
        <v>129991.66</v>
      </c>
      <c r="G71" s="18">
        <v>130795.03</v>
      </c>
      <c r="H71" s="18">
        <v>172823.05</v>
      </c>
      <c r="I71" s="18">
        <v>195592.25</v>
      </c>
      <c r="J71" s="18" t="s">
        <v>80</v>
      </c>
      <c r="K71" s="18">
        <v>160441.63</v>
      </c>
      <c r="L71" s="18" t="s">
        <v>81</v>
      </c>
      <c r="M71" s="18">
        <v>118636.36</v>
      </c>
      <c r="N71" s="16">
        <f>SUM(B71:M71)</f>
        <v>1270304.07</v>
      </c>
      <c r="O71" s="25"/>
      <c r="P71" s="25"/>
      <c r="Q71" s="25"/>
      <c r="R71" s="52"/>
    </row>
    <row r="72" spans="1:18" x14ac:dyDescent="0.25">
      <c r="A72" s="24" t="s">
        <v>82</v>
      </c>
      <c r="B72" s="18">
        <v>68094.720000000001</v>
      </c>
      <c r="C72" s="18">
        <v>628866.92000000004</v>
      </c>
      <c r="D72" s="59">
        <v>102649.2</v>
      </c>
      <c r="E72" s="18">
        <v>100629.27</v>
      </c>
      <c r="F72" s="18">
        <v>137286.19</v>
      </c>
      <c r="G72" s="18">
        <v>153809.53</v>
      </c>
      <c r="H72" s="18">
        <v>187047.19</v>
      </c>
      <c r="I72" s="18">
        <v>198057.76</v>
      </c>
      <c r="J72" s="18" t="s">
        <v>83</v>
      </c>
      <c r="K72" s="18">
        <v>163080.71</v>
      </c>
      <c r="L72" s="18" t="s">
        <v>84</v>
      </c>
      <c r="M72" s="18">
        <v>87355.1</v>
      </c>
      <c r="N72" s="16">
        <f>SUM(B72:M72)</f>
        <v>1826876.59</v>
      </c>
      <c r="O72" s="25"/>
      <c r="P72" s="25"/>
      <c r="Q72" s="25"/>
      <c r="R72" s="52"/>
    </row>
    <row r="73" spans="1:18" x14ac:dyDescent="0.25">
      <c r="A73" s="24" t="s">
        <v>85</v>
      </c>
      <c r="B73" s="18">
        <v>41617.89</v>
      </c>
      <c r="C73" s="18">
        <v>55752.98</v>
      </c>
      <c r="D73" s="59">
        <v>55954.09</v>
      </c>
      <c r="E73" s="18">
        <v>46850.239999999998</v>
      </c>
      <c r="F73" s="59">
        <v>76011.570000000007</v>
      </c>
      <c r="G73" s="18">
        <v>50479.32</v>
      </c>
      <c r="H73" s="18">
        <v>78318.429999999993</v>
      </c>
      <c r="I73" s="18">
        <v>70795.899999999994</v>
      </c>
      <c r="J73" s="18" t="s">
        <v>86</v>
      </c>
      <c r="K73" s="18">
        <v>60086.37</v>
      </c>
      <c r="L73" s="18" t="s">
        <v>87</v>
      </c>
      <c r="M73" s="18">
        <v>48012.480000000003</v>
      </c>
      <c r="N73" s="16">
        <f>SUM(B73:M73)</f>
        <v>583879.27</v>
      </c>
      <c r="O73" s="25"/>
      <c r="P73" s="25"/>
      <c r="Q73" s="25"/>
      <c r="R73" s="52"/>
    </row>
    <row r="74" spans="1:18" x14ac:dyDescent="0.25">
      <c r="A74" s="24"/>
      <c r="B74" s="60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52"/>
    </row>
    <row r="75" spans="1:18" ht="15.75" x14ac:dyDescent="0.25">
      <c r="A75" s="28" t="s">
        <v>88</v>
      </c>
      <c r="B75" s="29">
        <f t="shared" ref="B75:M75" si="22">SUM(B76:B80)</f>
        <v>6718697</v>
      </c>
      <c r="C75" s="29">
        <f t="shared" si="22"/>
        <v>5709446.3500000006</v>
      </c>
      <c r="D75" s="29">
        <f t="shared" si="22"/>
        <v>6722177.9699999997</v>
      </c>
      <c r="E75" s="29">
        <f t="shared" si="22"/>
        <v>5661139.4900000002</v>
      </c>
      <c r="F75" s="29">
        <f t="shared" si="22"/>
        <v>7131014.1299999999</v>
      </c>
      <c r="G75" s="29">
        <f t="shared" si="22"/>
        <v>6892450.0899999999</v>
      </c>
      <c r="H75" s="29">
        <f t="shared" si="22"/>
        <v>7418334.7199999997</v>
      </c>
      <c r="I75" s="29">
        <f t="shared" si="22"/>
        <v>7725536.7199999988</v>
      </c>
      <c r="J75" s="29">
        <f t="shared" si="22"/>
        <v>7149632.7700000005</v>
      </c>
      <c r="K75" s="29">
        <f t="shared" si="22"/>
        <v>7566922.7699999996</v>
      </c>
      <c r="L75" s="29">
        <f t="shared" si="22"/>
        <v>6599693.9400000004</v>
      </c>
      <c r="M75" s="29">
        <f t="shared" si="22"/>
        <v>6984212.8700000001</v>
      </c>
      <c r="N75" s="29">
        <f t="shared" ref="N75:N80" si="23">SUM(B75:M75)</f>
        <v>82279258.820000008</v>
      </c>
      <c r="O75" s="56"/>
      <c r="P75" s="56"/>
      <c r="Q75" s="56"/>
      <c r="R75" s="57"/>
    </row>
    <row r="76" spans="1:18" x14ac:dyDescent="0.25">
      <c r="A76" s="24" t="s">
        <v>89</v>
      </c>
      <c r="B76" s="18">
        <v>5795930</v>
      </c>
      <c r="C76" s="18">
        <f>4679301.34+22412.15</f>
        <v>4701713.49</v>
      </c>
      <c r="D76" s="18">
        <f>5625831.05+10758</f>
        <v>5636589.0499999998</v>
      </c>
      <c r="E76" s="18">
        <v>4719989.6500000004</v>
      </c>
      <c r="F76" s="59">
        <v>6049245.5300000003</v>
      </c>
      <c r="G76" s="18">
        <f>5717184.24+12381</f>
        <v>5729565.2400000002</v>
      </c>
      <c r="H76" s="18">
        <v>6234030.5700000003</v>
      </c>
      <c r="I76" s="18">
        <v>6388039.0899999999</v>
      </c>
      <c r="J76" s="18">
        <v>5922472.75</v>
      </c>
      <c r="K76" s="18">
        <f>6013591.63+35176.68</f>
        <v>6048768.3099999996</v>
      </c>
      <c r="L76" s="18">
        <v>5512602.6100000003</v>
      </c>
      <c r="M76" s="18">
        <v>5672969.5700000003</v>
      </c>
      <c r="N76" s="16">
        <f t="shared" si="23"/>
        <v>68411915.860000014</v>
      </c>
      <c r="O76" s="25"/>
      <c r="P76" s="25"/>
      <c r="Q76" s="25"/>
      <c r="R76" s="52"/>
    </row>
    <row r="77" spans="1:18" x14ac:dyDescent="0.25">
      <c r="A77" s="24" t="s">
        <v>90</v>
      </c>
      <c r="B77" s="18">
        <v>826353</v>
      </c>
      <c r="C77" s="18">
        <v>917489.41</v>
      </c>
      <c r="D77" s="18">
        <v>950851.83</v>
      </c>
      <c r="E77" s="18">
        <v>838489.05</v>
      </c>
      <c r="F77" s="18">
        <v>963804.48999999987</v>
      </c>
      <c r="G77" s="18">
        <v>1011594.33</v>
      </c>
      <c r="H77" s="18">
        <v>973286.39</v>
      </c>
      <c r="I77" s="18">
        <v>1221346.6399999999</v>
      </c>
      <c r="J77" s="18">
        <v>952573.2</v>
      </c>
      <c r="K77" s="18">
        <v>1277241.8400000001</v>
      </c>
      <c r="L77" s="18">
        <v>958498.00999999989</v>
      </c>
      <c r="M77" s="18">
        <v>1173456.95</v>
      </c>
      <c r="N77" s="16">
        <f t="shared" si="23"/>
        <v>12064985.139999999</v>
      </c>
      <c r="O77" s="25"/>
      <c r="P77" s="25"/>
      <c r="Q77" s="25"/>
      <c r="R77" s="52"/>
    </row>
    <row r="78" spans="1:18" x14ac:dyDescent="0.25">
      <c r="A78" s="24" t="s">
        <v>91</v>
      </c>
      <c r="B78" s="18">
        <v>82200</v>
      </c>
      <c r="C78" s="18">
        <v>81394.12</v>
      </c>
      <c r="D78" s="18">
        <v>113768.63</v>
      </c>
      <c r="E78" s="18">
        <v>88351.25</v>
      </c>
      <c r="F78" s="59">
        <v>88587.13</v>
      </c>
      <c r="G78" s="18">
        <v>119698.96</v>
      </c>
      <c r="H78" s="18">
        <v>191647.84</v>
      </c>
      <c r="I78" s="18">
        <v>96561.1</v>
      </c>
      <c r="J78" s="18">
        <v>253105.58</v>
      </c>
      <c r="K78" s="18">
        <v>207563.15</v>
      </c>
      <c r="L78" s="18">
        <v>125251.44</v>
      </c>
      <c r="M78" s="18">
        <v>116344.93000000001</v>
      </c>
      <c r="N78" s="16">
        <f t="shared" si="23"/>
        <v>1564474.1299999997</v>
      </c>
      <c r="O78" s="25"/>
      <c r="P78" s="25"/>
      <c r="Q78" s="25"/>
      <c r="R78" s="52"/>
    </row>
    <row r="79" spans="1:18" x14ac:dyDescent="0.25">
      <c r="A79" s="24" t="s">
        <v>92</v>
      </c>
      <c r="B79" s="18">
        <v>13881</v>
      </c>
      <c r="C79" s="18">
        <v>8691.33</v>
      </c>
      <c r="D79" s="18">
        <v>20800.46</v>
      </c>
      <c r="E79" s="18">
        <v>13405.55</v>
      </c>
      <c r="F79" s="59">
        <v>29205.599999999999</v>
      </c>
      <c r="G79" s="18">
        <v>17860.09</v>
      </c>
      <c r="H79" s="18">
        <v>18760.310000000001</v>
      </c>
      <c r="I79" s="18">
        <v>16914.18</v>
      </c>
      <c r="J79" s="18">
        <v>18849.2</v>
      </c>
      <c r="K79" s="18">
        <v>29783.88</v>
      </c>
      <c r="L79" s="18">
        <v>3341.88</v>
      </c>
      <c r="M79" s="18">
        <v>14750.59</v>
      </c>
      <c r="N79" s="16">
        <f t="shared" si="23"/>
        <v>206244.07</v>
      </c>
      <c r="O79" s="25"/>
      <c r="P79" s="25"/>
      <c r="Q79" s="25"/>
      <c r="R79" s="52"/>
    </row>
    <row r="80" spans="1:18" x14ac:dyDescent="0.25">
      <c r="A80" s="24" t="s">
        <v>93</v>
      </c>
      <c r="B80" s="18">
        <v>333</v>
      </c>
      <c r="C80" s="18">
        <v>158</v>
      </c>
      <c r="D80" s="18">
        <v>168</v>
      </c>
      <c r="E80" s="18">
        <v>903.99</v>
      </c>
      <c r="F80" s="59">
        <v>171.38</v>
      </c>
      <c r="G80" s="18">
        <v>13731.47</v>
      </c>
      <c r="H80" s="18">
        <v>609.61</v>
      </c>
      <c r="I80" s="18">
        <v>2675.71</v>
      </c>
      <c r="J80" s="18">
        <v>2632.04</v>
      </c>
      <c r="K80" s="18">
        <v>3565.59</v>
      </c>
      <c r="L80" s="18">
        <v>0</v>
      </c>
      <c r="M80" s="18">
        <v>6690.83</v>
      </c>
      <c r="N80" s="16">
        <f t="shared" si="23"/>
        <v>31639.620000000003</v>
      </c>
      <c r="O80" s="25"/>
      <c r="P80" s="25"/>
      <c r="Q80" s="25"/>
      <c r="R80" s="52"/>
    </row>
    <row r="81" spans="1:18" x14ac:dyDescent="0.25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3"/>
      <c r="O81" s="62"/>
      <c r="P81" s="62"/>
      <c r="Q81" s="62"/>
      <c r="R81" s="64"/>
    </row>
    <row r="82" spans="1:18" x14ac:dyDescent="0.25">
      <c r="A82" s="24" t="s">
        <v>94</v>
      </c>
      <c r="B82" s="18">
        <v>3616681.09</v>
      </c>
      <c r="C82" s="18">
        <f>3263605.41-23949.83</f>
        <v>3239655.58</v>
      </c>
      <c r="D82" s="18">
        <f>3861265.43-43255.17</f>
        <v>3818010.2600000002</v>
      </c>
      <c r="E82" s="18">
        <f>3335900.37-33398.84-15798.22</f>
        <v>3286703.31</v>
      </c>
      <c r="F82" s="18">
        <f>4365135.31-56739.35</f>
        <v>4308395.96</v>
      </c>
      <c r="G82" s="18">
        <v>4296574.54</v>
      </c>
      <c r="H82" s="59">
        <v>4712809.13</v>
      </c>
      <c r="I82" s="18">
        <v>4769614.42</v>
      </c>
      <c r="J82" s="18">
        <v>4497625.8899999997</v>
      </c>
      <c r="K82" s="18">
        <f>4712434.77-51725.24</f>
        <v>4660709.5299999993</v>
      </c>
      <c r="L82" s="18">
        <f>4228211.8-39172.39</f>
        <v>4189039.4099999997</v>
      </c>
      <c r="M82" s="18">
        <v>4149898.5100000002</v>
      </c>
      <c r="N82" s="16"/>
      <c r="O82" s="25"/>
      <c r="P82" s="25"/>
      <c r="Q82" s="25"/>
      <c r="R82" s="52"/>
    </row>
    <row r="83" spans="1:18" x14ac:dyDescent="0.25">
      <c r="A83" s="24" t="s">
        <v>95</v>
      </c>
      <c r="B83" s="18">
        <v>3102016.24</v>
      </c>
      <c r="C83" s="18">
        <f>2488662.33-18871.56</f>
        <v>2469790.77</v>
      </c>
      <c r="D83" s="18">
        <f>2927651.98-23484.27</f>
        <v>2904167.71</v>
      </c>
      <c r="E83" s="18">
        <f>2382290.42-7854.24</f>
        <v>2374436.1799999997</v>
      </c>
      <c r="F83" s="18">
        <f>2844851.03-22232.86</f>
        <v>2822618.17</v>
      </c>
      <c r="G83" s="18">
        <v>2595875.5499999998</v>
      </c>
      <c r="H83" s="59">
        <v>2705525.59</v>
      </c>
      <c r="I83" s="18">
        <v>2955922.3000000003</v>
      </c>
      <c r="J83" s="18">
        <v>2652006.8800000004</v>
      </c>
      <c r="K83" s="18">
        <f>2921804.56-15591.32</f>
        <v>2906213.24</v>
      </c>
      <c r="L83" s="18">
        <f>2419840.74-9186.21</f>
        <v>2410654.5300000003</v>
      </c>
      <c r="M83" s="18">
        <v>2834314.36</v>
      </c>
      <c r="N83" s="16"/>
      <c r="O83" s="25"/>
      <c r="P83" s="25"/>
      <c r="Q83" s="25"/>
      <c r="R83" s="52"/>
    </row>
    <row r="84" spans="1:18" x14ac:dyDescent="0.25">
      <c r="A84" s="24"/>
      <c r="B84" s="60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52"/>
    </row>
    <row r="85" spans="1:18" x14ac:dyDescent="0.25">
      <c r="A85" s="65" t="s">
        <v>96</v>
      </c>
      <c r="B85" s="66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52"/>
    </row>
    <row r="86" spans="1:18" ht="15.75" x14ac:dyDescent="0.25">
      <c r="A86" s="28" t="s">
        <v>97</v>
      </c>
      <c r="B86" s="67">
        <f>+B87+B93</f>
        <v>25381</v>
      </c>
      <c r="C86" s="67">
        <f t="shared" ref="C86:M86" si="24">+C87+C93</f>
        <v>25457</v>
      </c>
      <c r="D86" s="67">
        <f t="shared" si="24"/>
        <v>25523</v>
      </c>
      <c r="E86" s="67">
        <f t="shared" si="24"/>
        <v>25579</v>
      </c>
      <c r="F86" s="67">
        <f t="shared" si="24"/>
        <v>25639</v>
      </c>
      <c r="G86" s="67">
        <f t="shared" si="24"/>
        <v>25669</v>
      </c>
      <c r="H86" s="67">
        <f t="shared" si="24"/>
        <v>25711</v>
      </c>
      <c r="I86" s="67">
        <f t="shared" si="24"/>
        <v>25750</v>
      </c>
      <c r="J86" s="67">
        <f t="shared" si="24"/>
        <v>25772</v>
      </c>
      <c r="K86" s="67">
        <f t="shared" si="24"/>
        <v>25802</v>
      </c>
      <c r="L86" s="67">
        <f t="shared" si="24"/>
        <v>25817</v>
      </c>
      <c r="M86" s="67">
        <f t="shared" si="24"/>
        <v>25842</v>
      </c>
      <c r="N86" s="68"/>
      <c r="O86" s="68"/>
      <c r="P86" s="56"/>
      <c r="Q86" s="56"/>
      <c r="R86" s="57"/>
    </row>
    <row r="87" spans="1:18" x14ac:dyDescent="0.25">
      <c r="A87" s="69" t="s">
        <v>98</v>
      </c>
      <c r="B87" s="70">
        <f>+B88+B89+B90+B91+B92</f>
        <v>25253</v>
      </c>
      <c r="C87" s="70">
        <f t="shared" ref="C87:M87" si="25">+C88+C89+C90+C91+C92</f>
        <v>25330</v>
      </c>
      <c r="D87" s="70">
        <f t="shared" si="25"/>
        <v>25396</v>
      </c>
      <c r="E87" s="70">
        <f t="shared" si="25"/>
        <v>25452</v>
      </c>
      <c r="F87" s="70">
        <f t="shared" si="25"/>
        <v>25507</v>
      </c>
      <c r="G87" s="70">
        <f t="shared" si="25"/>
        <v>25536</v>
      </c>
      <c r="H87" s="70">
        <f t="shared" si="25"/>
        <v>25579</v>
      </c>
      <c r="I87" s="70">
        <f t="shared" si="25"/>
        <v>25618</v>
      </c>
      <c r="J87" s="70">
        <f t="shared" si="25"/>
        <v>25640</v>
      </c>
      <c r="K87" s="70">
        <f t="shared" si="25"/>
        <v>25670</v>
      </c>
      <c r="L87" s="70">
        <f t="shared" si="25"/>
        <v>25685</v>
      </c>
      <c r="M87" s="70">
        <f t="shared" si="25"/>
        <v>25710</v>
      </c>
      <c r="N87" s="71"/>
      <c r="O87" s="71"/>
      <c r="P87" s="60"/>
      <c r="Q87" s="60"/>
      <c r="R87" s="72"/>
    </row>
    <row r="88" spans="1:18" x14ac:dyDescent="0.25">
      <c r="A88" s="21" t="s">
        <v>99</v>
      </c>
      <c r="B88" s="73">
        <v>23665</v>
      </c>
      <c r="C88" s="73">
        <v>23737</v>
      </c>
      <c r="D88" s="73">
        <v>23804</v>
      </c>
      <c r="E88" s="73">
        <v>23860</v>
      </c>
      <c r="F88" s="73">
        <v>23909</v>
      </c>
      <c r="G88" s="73">
        <v>23939</v>
      </c>
      <c r="H88" s="73">
        <v>23980</v>
      </c>
      <c r="I88" s="73">
        <v>24012</v>
      </c>
      <c r="J88" s="74">
        <v>24031</v>
      </c>
      <c r="K88" s="73">
        <v>24061</v>
      </c>
      <c r="L88" s="73">
        <v>24080</v>
      </c>
      <c r="M88" s="73">
        <v>24108</v>
      </c>
      <c r="N88" s="66"/>
      <c r="O88" s="66"/>
      <c r="P88" s="25"/>
      <c r="Q88" s="25"/>
      <c r="R88" s="52"/>
    </row>
    <row r="89" spans="1:18" x14ac:dyDescent="0.25">
      <c r="A89" s="21" t="s">
        <v>100</v>
      </c>
      <c r="B89" s="73">
        <v>1346</v>
      </c>
      <c r="C89" s="73">
        <v>1344</v>
      </c>
      <c r="D89" s="73">
        <v>1336</v>
      </c>
      <c r="E89" s="73">
        <v>1337</v>
      </c>
      <c r="F89" s="73">
        <v>1343</v>
      </c>
      <c r="G89" s="73">
        <v>1333</v>
      </c>
      <c r="H89" s="73">
        <v>1333</v>
      </c>
      <c r="I89" s="73">
        <v>1340</v>
      </c>
      <c r="J89" s="74">
        <v>1343</v>
      </c>
      <c r="K89" s="73">
        <v>1343</v>
      </c>
      <c r="L89" s="73">
        <v>1337</v>
      </c>
      <c r="M89" s="73">
        <v>1335</v>
      </c>
      <c r="N89" s="66"/>
      <c r="O89" s="66"/>
      <c r="P89" s="25"/>
      <c r="Q89" s="25"/>
      <c r="R89" s="52"/>
    </row>
    <row r="90" spans="1:18" x14ac:dyDescent="0.25">
      <c r="A90" s="21" t="s">
        <v>101</v>
      </c>
      <c r="B90" s="73">
        <v>35</v>
      </c>
      <c r="C90" s="73">
        <v>41</v>
      </c>
      <c r="D90" s="73">
        <v>48</v>
      </c>
      <c r="E90" s="73">
        <v>47</v>
      </c>
      <c r="F90" s="73">
        <v>47</v>
      </c>
      <c r="G90" s="73">
        <v>56</v>
      </c>
      <c r="H90" s="73">
        <v>58</v>
      </c>
      <c r="I90" s="73">
        <v>58</v>
      </c>
      <c r="J90" s="74">
        <v>58</v>
      </c>
      <c r="K90" s="73">
        <v>58</v>
      </c>
      <c r="L90" s="73">
        <v>59</v>
      </c>
      <c r="M90" s="73">
        <v>59</v>
      </c>
      <c r="N90" s="66"/>
      <c r="O90" s="66"/>
      <c r="P90" s="25"/>
      <c r="Q90" s="25"/>
      <c r="R90" s="52"/>
    </row>
    <row r="91" spans="1:18" x14ac:dyDescent="0.25">
      <c r="A91" s="21" t="s">
        <v>102</v>
      </c>
      <c r="B91" s="73">
        <v>96</v>
      </c>
      <c r="C91" s="73">
        <v>97</v>
      </c>
      <c r="D91" s="73">
        <v>97</v>
      </c>
      <c r="E91" s="73">
        <v>97</v>
      </c>
      <c r="F91" s="73">
        <v>97</v>
      </c>
      <c r="G91" s="73">
        <v>97</v>
      </c>
      <c r="H91" s="73">
        <v>97</v>
      </c>
      <c r="I91" s="73">
        <v>97</v>
      </c>
      <c r="J91" s="74">
        <v>97</v>
      </c>
      <c r="K91" s="73">
        <v>97</v>
      </c>
      <c r="L91" s="73">
        <v>97</v>
      </c>
      <c r="M91" s="73">
        <v>97</v>
      </c>
      <c r="N91" s="66"/>
      <c r="O91" s="66"/>
      <c r="P91" s="25"/>
      <c r="Q91" s="25"/>
      <c r="R91" s="52"/>
    </row>
    <row r="92" spans="1:18" x14ac:dyDescent="0.25">
      <c r="A92" s="21" t="s">
        <v>103</v>
      </c>
      <c r="B92" s="73">
        <v>111</v>
      </c>
      <c r="C92" s="73">
        <v>111</v>
      </c>
      <c r="D92" s="73">
        <v>111</v>
      </c>
      <c r="E92" s="73">
        <v>111</v>
      </c>
      <c r="F92" s="73">
        <v>111</v>
      </c>
      <c r="G92" s="73">
        <v>111</v>
      </c>
      <c r="H92" s="73">
        <v>111</v>
      </c>
      <c r="I92" s="73">
        <v>111</v>
      </c>
      <c r="J92" s="74">
        <v>111</v>
      </c>
      <c r="K92" s="73">
        <v>111</v>
      </c>
      <c r="L92" s="73">
        <v>112</v>
      </c>
      <c r="M92" s="73">
        <v>111</v>
      </c>
      <c r="N92" s="66"/>
      <c r="O92" s="66"/>
      <c r="P92" s="25"/>
      <c r="Q92" s="25"/>
      <c r="R92" s="52"/>
    </row>
    <row r="93" spans="1:18" x14ac:dyDescent="0.25">
      <c r="A93" s="69" t="s">
        <v>104</v>
      </c>
      <c r="B93" s="70">
        <f>+B94+B95+B96+B97+B98</f>
        <v>128</v>
      </c>
      <c r="C93" s="70">
        <f t="shared" ref="C93:M93" si="26">+C94+C95+C96+C97+C98</f>
        <v>127</v>
      </c>
      <c r="D93" s="70">
        <f t="shared" si="26"/>
        <v>127</v>
      </c>
      <c r="E93" s="70">
        <f t="shared" si="26"/>
        <v>127</v>
      </c>
      <c r="F93" s="70">
        <f t="shared" si="26"/>
        <v>132</v>
      </c>
      <c r="G93" s="70">
        <f t="shared" si="26"/>
        <v>133</v>
      </c>
      <c r="H93" s="70">
        <f t="shared" si="26"/>
        <v>132</v>
      </c>
      <c r="I93" s="70">
        <f t="shared" si="26"/>
        <v>132</v>
      </c>
      <c r="J93" s="70">
        <f t="shared" si="26"/>
        <v>132</v>
      </c>
      <c r="K93" s="70">
        <f t="shared" si="26"/>
        <v>132</v>
      </c>
      <c r="L93" s="70">
        <f t="shared" si="26"/>
        <v>132</v>
      </c>
      <c r="M93" s="70">
        <f t="shared" si="26"/>
        <v>132</v>
      </c>
      <c r="N93" s="71"/>
      <c r="O93" s="71"/>
      <c r="P93" s="60"/>
      <c r="Q93" s="60"/>
      <c r="R93" s="72"/>
    </row>
    <row r="94" spans="1:18" x14ac:dyDescent="0.25">
      <c r="A94" s="21" t="s">
        <v>105</v>
      </c>
      <c r="B94" s="73">
        <v>111</v>
      </c>
      <c r="C94" s="73">
        <v>111</v>
      </c>
      <c r="D94" s="73">
        <v>111</v>
      </c>
      <c r="E94" s="73">
        <v>111</v>
      </c>
      <c r="F94" s="73">
        <v>116</v>
      </c>
      <c r="G94" s="73">
        <v>117</v>
      </c>
      <c r="H94" s="73">
        <v>116</v>
      </c>
      <c r="I94" s="73">
        <v>116</v>
      </c>
      <c r="J94" s="73">
        <v>116</v>
      </c>
      <c r="K94" s="73">
        <v>116</v>
      </c>
      <c r="L94" s="73">
        <v>116</v>
      </c>
      <c r="M94" s="73">
        <v>116</v>
      </c>
      <c r="N94" s="66"/>
      <c r="O94" s="66"/>
      <c r="P94" s="25"/>
      <c r="Q94" s="25"/>
      <c r="R94" s="52"/>
    </row>
    <row r="95" spans="1:18" x14ac:dyDescent="0.25">
      <c r="A95" s="19" t="s">
        <v>106</v>
      </c>
      <c r="B95" s="73">
        <v>17</v>
      </c>
      <c r="C95" s="73">
        <v>16</v>
      </c>
      <c r="D95" s="73">
        <v>16</v>
      </c>
      <c r="E95" s="73">
        <v>16</v>
      </c>
      <c r="F95" s="73">
        <v>16</v>
      </c>
      <c r="G95" s="73">
        <v>16</v>
      </c>
      <c r="H95" s="73">
        <v>16</v>
      </c>
      <c r="I95" s="73">
        <v>16</v>
      </c>
      <c r="J95" s="73">
        <v>16</v>
      </c>
      <c r="K95" s="73">
        <v>16</v>
      </c>
      <c r="L95" s="73">
        <v>16</v>
      </c>
      <c r="M95" s="73">
        <v>16</v>
      </c>
      <c r="N95" s="66"/>
      <c r="O95" s="66"/>
      <c r="P95" s="25"/>
      <c r="Q95" s="25"/>
      <c r="R95" s="52"/>
    </row>
    <row r="96" spans="1:18" x14ac:dyDescent="0.25">
      <c r="A96" s="21" t="s">
        <v>107</v>
      </c>
      <c r="B96" s="73">
        <v>0</v>
      </c>
      <c r="C96" s="73">
        <v>0</v>
      </c>
      <c r="D96" s="73">
        <v>0</v>
      </c>
      <c r="E96" s="73">
        <v>0</v>
      </c>
      <c r="F96" s="73">
        <v>0</v>
      </c>
      <c r="G96" s="73">
        <v>0</v>
      </c>
      <c r="H96" s="73">
        <v>0</v>
      </c>
      <c r="I96" s="73">
        <v>0</v>
      </c>
      <c r="J96" s="73">
        <v>0</v>
      </c>
      <c r="K96" s="73">
        <v>0</v>
      </c>
      <c r="L96" s="73">
        <v>0</v>
      </c>
      <c r="M96" s="73">
        <v>0</v>
      </c>
      <c r="N96" s="66"/>
      <c r="O96" s="66"/>
      <c r="P96" s="25"/>
      <c r="Q96" s="25"/>
      <c r="R96" s="52"/>
    </row>
    <row r="97" spans="1:18" x14ac:dyDescent="0.25">
      <c r="A97" s="21" t="s">
        <v>108</v>
      </c>
      <c r="B97" s="73">
        <v>0</v>
      </c>
      <c r="C97" s="73">
        <v>0</v>
      </c>
      <c r="D97" s="73">
        <v>0</v>
      </c>
      <c r="E97" s="73">
        <v>0</v>
      </c>
      <c r="F97" s="73">
        <v>0</v>
      </c>
      <c r="G97" s="73">
        <v>0</v>
      </c>
      <c r="H97" s="73">
        <v>0</v>
      </c>
      <c r="I97" s="73">
        <v>0</v>
      </c>
      <c r="J97" s="73">
        <v>0</v>
      </c>
      <c r="K97" s="73">
        <v>0</v>
      </c>
      <c r="L97" s="73">
        <v>0</v>
      </c>
      <c r="M97" s="73">
        <v>0</v>
      </c>
      <c r="N97" s="66"/>
      <c r="O97" s="66"/>
      <c r="P97" s="25"/>
      <c r="Q97" s="25"/>
      <c r="R97" s="52"/>
    </row>
    <row r="98" spans="1:18" x14ac:dyDescent="0.25">
      <c r="A98" s="21" t="s">
        <v>109</v>
      </c>
      <c r="B98" s="73">
        <v>0</v>
      </c>
      <c r="C98" s="73">
        <v>0</v>
      </c>
      <c r="D98" s="73">
        <v>0</v>
      </c>
      <c r="E98" s="73">
        <v>0</v>
      </c>
      <c r="F98" s="73">
        <v>0</v>
      </c>
      <c r="G98" s="73">
        <v>0</v>
      </c>
      <c r="H98" s="73">
        <v>0</v>
      </c>
      <c r="I98" s="73">
        <v>0</v>
      </c>
      <c r="J98" s="73">
        <v>0</v>
      </c>
      <c r="K98" s="73">
        <v>0</v>
      </c>
      <c r="L98" s="73">
        <v>0</v>
      </c>
      <c r="M98" s="73">
        <v>0</v>
      </c>
      <c r="N98" s="66"/>
      <c r="O98" s="66"/>
      <c r="P98" s="25"/>
      <c r="Q98" s="25"/>
      <c r="R98" s="52"/>
    </row>
    <row r="99" spans="1:18" ht="15.75" x14ac:dyDescent="0.25">
      <c r="A99" s="28" t="s">
        <v>110</v>
      </c>
      <c r="B99" s="75">
        <f>25381*0.98</f>
        <v>24873.38</v>
      </c>
      <c r="C99" s="75">
        <f>25457*0.98</f>
        <v>24947.86</v>
      </c>
      <c r="D99" s="75">
        <f>25523*0.98</f>
        <v>25012.54</v>
      </c>
      <c r="E99" s="75">
        <f>25579*0.98</f>
        <v>25067.42</v>
      </c>
      <c r="F99" s="75">
        <f>25639*0.98</f>
        <v>25126.22</v>
      </c>
      <c r="G99" s="75">
        <f>25669*0.98</f>
        <v>25155.62</v>
      </c>
      <c r="H99" s="75">
        <f>25711*0.98</f>
        <v>25196.78</v>
      </c>
      <c r="I99" s="75">
        <f>25750*0.98</f>
        <v>25235</v>
      </c>
      <c r="J99" s="75">
        <f>25772*0.98</f>
        <v>25256.560000000001</v>
      </c>
      <c r="K99" s="75">
        <f>25802*0.98</f>
        <v>25285.96</v>
      </c>
      <c r="L99" s="75">
        <f>25750*0.98</f>
        <v>25235</v>
      </c>
      <c r="M99" s="75">
        <f>25750*0.98</f>
        <v>25235</v>
      </c>
      <c r="N99" s="68"/>
      <c r="O99" s="68"/>
      <c r="P99" s="56"/>
      <c r="Q99" s="56"/>
      <c r="R99" s="57"/>
    </row>
    <row r="100" spans="1:18" x14ac:dyDescent="0.25">
      <c r="A100" s="58"/>
      <c r="B100" s="66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52"/>
    </row>
    <row r="101" spans="1:18" ht="15.75" x14ac:dyDescent="0.25">
      <c r="A101" s="76" t="s">
        <v>111</v>
      </c>
      <c r="B101" s="66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52"/>
    </row>
    <row r="102" spans="1:18" ht="15.75" x14ac:dyDescent="0.25">
      <c r="A102" s="28" t="s">
        <v>112</v>
      </c>
      <c r="B102" s="29">
        <f>+B103+B107+B108</f>
        <v>69637609.109999999</v>
      </c>
      <c r="C102" s="29">
        <f t="shared" ref="C102:M102" si="27">+C103+C107+C108</f>
        <v>69464815.189999998</v>
      </c>
      <c r="D102" s="29">
        <f t="shared" si="27"/>
        <v>70360472.519999996</v>
      </c>
      <c r="E102" s="29">
        <f t="shared" si="27"/>
        <v>70633495.25999999</v>
      </c>
      <c r="F102" s="29">
        <f t="shared" si="27"/>
        <v>65042820.890000001</v>
      </c>
      <c r="G102" s="29">
        <f t="shared" si="27"/>
        <v>65570081.07</v>
      </c>
      <c r="H102" s="29">
        <f t="shared" si="27"/>
        <v>66160864.959999993</v>
      </c>
      <c r="I102" s="29">
        <f t="shared" si="27"/>
        <v>66924121.25</v>
      </c>
      <c r="J102" s="29">
        <f t="shared" si="27"/>
        <v>67826615.879999995</v>
      </c>
      <c r="K102" s="29">
        <f t="shared" si="27"/>
        <v>67631445.210000008</v>
      </c>
      <c r="L102" s="29">
        <f t="shared" si="27"/>
        <v>64940222.839999996</v>
      </c>
      <c r="M102" s="29">
        <f t="shared" si="27"/>
        <v>64783365.419999994</v>
      </c>
      <c r="N102" s="56"/>
      <c r="O102" s="56"/>
      <c r="P102" s="56"/>
      <c r="Q102" s="56"/>
      <c r="R102" s="57"/>
    </row>
    <row r="103" spans="1:18" x14ac:dyDescent="0.25">
      <c r="A103" s="24" t="s">
        <v>113</v>
      </c>
      <c r="B103" s="16">
        <f>+B104+B105+B106</f>
        <v>33108546.239999998</v>
      </c>
      <c r="C103" s="16">
        <f t="shared" ref="C103:M103" si="28">+C104+C105+C106</f>
        <v>32871437.270000003</v>
      </c>
      <c r="D103" s="16">
        <f t="shared" si="28"/>
        <v>33072862.759999998</v>
      </c>
      <c r="E103" s="16">
        <f t="shared" si="28"/>
        <v>33224234.879999999</v>
      </c>
      <c r="F103" s="16">
        <f t="shared" si="28"/>
        <v>29672727.02</v>
      </c>
      <c r="G103" s="16">
        <f t="shared" si="28"/>
        <v>30029477.949999999</v>
      </c>
      <c r="H103" s="16">
        <f t="shared" si="28"/>
        <v>30448083.449999999</v>
      </c>
      <c r="I103" s="16">
        <f t="shared" si="28"/>
        <v>30987743.57</v>
      </c>
      <c r="J103" s="16">
        <f t="shared" si="28"/>
        <v>31645229.559999999</v>
      </c>
      <c r="K103" s="16">
        <f t="shared" si="28"/>
        <v>31293114.609999999</v>
      </c>
      <c r="L103" s="16">
        <f t="shared" si="28"/>
        <v>28406172.859999999</v>
      </c>
      <c r="M103" s="16">
        <f t="shared" si="28"/>
        <v>28048360.18</v>
      </c>
      <c r="N103" s="25"/>
      <c r="O103" s="25"/>
      <c r="P103" s="25"/>
      <c r="Q103" s="25"/>
      <c r="R103" s="52"/>
    </row>
    <row r="104" spans="1:18" x14ac:dyDescent="0.25">
      <c r="A104" s="21" t="s">
        <v>114</v>
      </c>
      <c r="B104" s="77">
        <v>29468012.940000001</v>
      </c>
      <c r="C104" s="77">
        <v>29370509.190000001</v>
      </c>
      <c r="D104" s="77">
        <v>29509765.27</v>
      </c>
      <c r="E104" s="77">
        <v>29672652.75</v>
      </c>
      <c r="F104" s="77">
        <v>26250068.109999999</v>
      </c>
      <c r="G104" s="59">
        <v>26611876.699999999</v>
      </c>
      <c r="H104" s="18">
        <v>26971597.359999999</v>
      </c>
      <c r="I104" s="18">
        <v>27433123.34</v>
      </c>
      <c r="J104" s="18" t="s">
        <v>115</v>
      </c>
      <c r="K104" s="18">
        <v>27679625.800000001</v>
      </c>
      <c r="L104" s="18" t="s">
        <v>116</v>
      </c>
      <c r="M104" s="18">
        <v>24657085.550000001</v>
      </c>
      <c r="N104" s="25"/>
      <c r="O104" s="25"/>
      <c r="P104" s="25"/>
      <c r="Q104" s="25"/>
      <c r="R104" s="52"/>
    </row>
    <row r="105" spans="1:18" x14ac:dyDescent="0.25">
      <c r="A105" s="21" t="s">
        <v>117</v>
      </c>
      <c r="B105" s="77">
        <v>3612924.06</v>
      </c>
      <c r="C105" s="77">
        <v>3479277.53</v>
      </c>
      <c r="D105" s="77">
        <v>3545619.81</v>
      </c>
      <c r="E105" s="77">
        <v>3536624.4</v>
      </c>
      <c r="F105" s="77">
        <v>3398829.37</v>
      </c>
      <c r="G105" s="59">
        <v>3361299.24</v>
      </c>
      <c r="H105" s="18">
        <v>3438311.15</v>
      </c>
      <c r="I105" s="18">
        <v>3507295.81</v>
      </c>
      <c r="J105" s="18" t="s">
        <v>118</v>
      </c>
      <c r="K105" s="59">
        <v>3580785.17</v>
      </c>
      <c r="L105" s="18" t="s">
        <v>119</v>
      </c>
      <c r="M105" s="18">
        <v>3338180.55</v>
      </c>
      <c r="N105" s="25"/>
      <c r="O105" s="25"/>
      <c r="P105" s="25"/>
      <c r="Q105" s="25"/>
      <c r="R105" s="52"/>
    </row>
    <row r="106" spans="1:18" x14ac:dyDescent="0.25">
      <c r="A106" s="21" t="s">
        <v>120</v>
      </c>
      <c r="B106" s="77">
        <v>27609.24</v>
      </c>
      <c r="C106" s="77">
        <v>21650.55</v>
      </c>
      <c r="D106" s="77">
        <v>17477.68</v>
      </c>
      <c r="E106" s="77">
        <v>14957.73</v>
      </c>
      <c r="F106" s="77">
        <v>23829.54</v>
      </c>
      <c r="G106" s="59">
        <v>56302.01</v>
      </c>
      <c r="H106" s="18">
        <v>38174.94</v>
      </c>
      <c r="I106" s="59">
        <v>47324.42</v>
      </c>
      <c r="J106" s="18" t="s">
        <v>121</v>
      </c>
      <c r="K106" s="59">
        <v>32703.64</v>
      </c>
      <c r="L106" s="18" t="s">
        <v>122</v>
      </c>
      <c r="M106" s="18">
        <v>53094.080000000002</v>
      </c>
      <c r="N106" s="25"/>
      <c r="O106" s="25"/>
      <c r="P106" s="25"/>
      <c r="Q106" s="25"/>
      <c r="R106" s="52"/>
    </row>
    <row r="107" spans="1:18" x14ac:dyDescent="0.25">
      <c r="A107" s="24" t="s">
        <v>123</v>
      </c>
      <c r="B107" s="77">
        <v>24499626.100000001</v>
      </c>
      <c r="C107" s="77">
        <v>24543893.719999999</v>
      </c>
      <c r="D107" s="77">
        <v>25162487.530000001</v>
      </c>
      <c r="E107" s="77">
        <v>25249522.469999999</v>
      </c>
      <c r="F107" s="77">
        <v>24021149.920000002</v>
      </c>
      <c r="G107" s="59">
        <v>24132570.48</v>
      </c>
      <c r="H107" s="18">
        <v>24255215.059999999</v>
      </c>
      <c r="I107" s="18">
        <v>24405479.109999999</v>
      </c>
      <c r="J107" s="18" t="s">
        <v>124</v>
      </c>
      <c r="K107" s="59">
        <v>24681212.34</v>
      </c>
      <c r="L107" s="18" t="s">
        <v>125</v>
      </c>
      <c r="M107" s="18">
        <v>24965987.09</v>
      </c>
      <c r="N107" s="25"/>
      <c r="O107" s="25"/>
      <c r="P107" s="25"/>
      <c r="Q107" s="25"/>
      <c r="R107" s="52"/>
    </row>
    <row r="108" spans="1:18" x14ac:dyDescent="0.25">
      <c r="A108" s="24" t="s">
        <v>126</v>
      </c>
      <c r="B108" s="77">
        <v>12029436.77</v>
      </c>
      <c r="C108" s="77">
        <v>12049484.199999999</v>
      </c>
      <c r="D108" s="77">
        <v>12125122.23</v>
      </c>
      <c r="E108" s="77">
        <v>12159737.91</v>
      </c>
      <c r="F108" s="77">
        <v>11348943.949999999</v>
      </c>
      <c r="G108" s="59">
        <v>11408032.640000001</v>
      </c>
      <c r="H108" s="59">
        <v>11457566.449999999</v>
      </c>
      <c r="I108" s="18">
        <v>11530898.57</v>
      </c>
      <c r="J108" s="18" t="s">
        <v>127</v>
      </c>
      <c r="K108" s="59">
        <v>11657118.26</v>
      </c>
      <c r="L108" s="18" t="s">
        <v>128</v>
      </c>
      <c r="M108" s="18">
        <v>11769018.15</v>
      </c>
      <c r="N108" s="25"/>
      <c r="O108" s="25"/>
      <c r="P108" s="25"/>
      <c r="Q108" s="25"/>
      <c r="R108" s="52"/>
    </row>
    <row r="109" spans="1:18" x14ac:dyDescent="0.25">
      <c r="A109" s="24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52"/>
    </row>
    <row r="110" spans="1:18" ht="15.75" x14ac:dyDescent="0.25">
      <c r="A110" s="78" t="s">
        <v>129</v>
      </c>
      <c r="B110" s="79">
        <f>+B111+B112+B113+B114</f>
        <v>10386</v>
      </c>
      <c r="C110" s="79">
        <f t="shared" ref="C110:M110" si="29">+C111+C112+C113+C114</f>
        <v>10417</v>
      </c>
      <c r="D110" s="79">
        <f t="shared" si="29"/>
        <v>8065</v>
      </c>
      <c r="E110" s="79">
        <f t="shared" si="29"/>
        <v>8953</v>
      </c>
      <c r="F110" s="79">
        <f t="shared" si="29"/>
        <v>8508</v>
      </c>
      <c r="G110" s="79">
        <f t="shared" si="29"/>
        <v>8520</v>
      </c>
      <c r="H110" s="79">
        <f t="shared" si="29"/>
        <v>8599</v>
      </c>
      <c r="I110" s="79">
        <f t="shared" si="29"/>
        <v>8607</v>
      </c>
      <c r="J110" s="79">
        <f t="shared" si="29"/>
        <v>8617</v>
      </c>
      <c r="K110" s="79">
        <f t="shared" si="29"/>
        <v>8522</v>
      </c>
      <c r="L110" s="79">
        <f t="shared" si="29"/>
        <v>8383</v>
      </c>
      <c r="M110" s="79">
        <f t="shared" si="29"/>
        <v>9096</v>
      </c>
      <c r="N110" s="25"/>
      <c r="O110" s="25"/>
      <c r="P110" s="25"/>
      <c r="Q110" s="25"/>
      <c r="R110" s="52"/>
    </row>
    <row r="111" spans="1:18" x14ac:dyDescent="0.25">
      <c r="A111" s="24" t="s">
        <v>130</v>
      </c>
      <c r="B111" s="73">
        <v>5246</v>
      </c>
      <c r="C111" s="73">
        <v>5328</v>
      </c>
      <c r="D111" s="73">
        <v>4567</v>
      </c>
      <c r="E111" s="73">
        <v>4469</v>
      </c>
      <c r="F111" s="73">
        <v>4174</v>
      </c>
      <c r="G111" s="73">
        <v>4227</v>
      </c>
      <c r="H111" s="73">
        <v>4309</v>
      </c>
      <c r="I111" s="73">
        <v>4429</v>
      </c>
      <c r="J111" s="73">
        <v>4342</v>
      </c>
      <c r="K111" s="73">
        <v>4276</v>
      </c>
      <c r="L111" s="73">
        <v>4420</v>
      </c>
      <c r="M111" s="73">
        <v>5243</v>
      </c>
      <c r="N111" s="66"/>
      <c r="O111" s="66"/>
      <c r="P111" s="66"/>
      <c r="Q111" s="25"/>
      <c r="R111" s="52"/>
    </row>
    <row r="112" spans="1:18" x14ac:dyDescent="0.25">
      <c r="A112" s="24" t="s">
        <v>131</v>
      </c>
      <c r="B112" s="73">
        <v>2238</v>
      </c>
      <c r="C112" s="73">
        <v>2199</v>
      </c>
      <c r="D112" s="73">
        <v>1079</v>
      </c>
      <c r="E112" s="73">
        <v>2043</v>
      </c>
      <c r="F112" s="73">
        <v>1900</v>
      </c>
      <c r="G112" s="73">
        <v>1815</v>
      </c>
      <c r="H112" s="73">
        <v>1797</v>
      </c>
      <c r="I112" s="73">
        <v>1711</v>
      </c>
      <c r="J112" s="73">
        <v>1829</v>
      </c>
      <c r="K112" s="73">
        <v>1631</v>
      </c>
      <c r="L112" s="73">
        <v>1690</v>
      </c>
      <c r="M112" s="73">
        <v>1680</v>
      </c>
      <c r="N112" s="66"/>
      <c r="O112" s="66"/>
      <c r="P112" s="66"/>
      <c r="Q112" s="25"/>
      <c r="R112" s="52"/>
    </row>
    <row r="113" spans="1:18" x14ac:dyDescent="0.25">
      <c r="A113" s="24" t="s">
        <v>132</v>
      </c>
      <c r="B113" s="73">
        <v>1483</v>
      </c>
      <c r="C113" s="73">
        <v>1473</v>
      </c>
      <c r="D113" s="73">
        <v>479</v>
      </c>
      <c r="E113" s="73">
        <v>462</v>
      </c>
      <c r="F113" s="73">
        <v>434</v>
      </c>
      <c r="G113" s="73">
        <v>465</v>
      </c>
      <c r="H113" s="73">
        <v>433</v>
      </c>
      <c r="I113" s="73">
        <v>414</v>
      </c>
      <c r="J113" s="73">
        <v>376</v>
      </c>
      <c r="K113" s="73">
        <v>630</v>
      </c>
      <c r="L113" s="73">
        <v>541</v>
      </c>
      <c r="M113" s="73">
        <v>516</v>
      </c>
      <c r="N113" s="66"/>
      <c r="O113" s="66"/>
      <c r="P113" s="66"/>
      <c r="Q113" s="25"/>
      <c r="R113" s="52"/>
    </row>
    <row r="114" spans="1:18" x14ac:dyDescent="0.25">
      <c r="A114" s="24" t="s">
        <v>133</v>
      </c>
      <c r="B114" s="73">
        <v>1419</v>
      </c>
      <c r="C114" s="73">
        <v>1417</v>
      </c>
      <c r="D114" s="73">
        <v>1940</v>
      </c>
      <c r="E114" s="73">
        <v>1979</v>
      </c>
      <c r="F114" s="73">
        <v>2000</v>
      </c>
      <c r="G114" s="73">
        <v>2013</v>
      </c>
      <c r="H114" s="73">
        <v>2060</v>
      </c>
      <c r="I114" s="73">
        <v>2053</v>
      </c>
      <c r="J114" s="73">
        <v>2070</v>
      </c>
      <c r="K114" s="73">
        <v>1985</v>
      </c>
      <c r="L114" s="73">
        <v>1732</v>
      </c>
      <c r="M114" s="73">
        <v>1657</v>
      </c>
      <c r="N114" s="66"/>
      <c r="O114" s="66"/>
      <c r="P114" s="66"/>
      <c r="Q114" s="25"/>
      <c r="R114" s="52"/>
    </row>
    <row r="115" spans="1:18" x14ac:dyDescent="0.25">
      <c r="A115" s="24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52"/>
    </row>
    <row r="116" spans="1:18" ht="15.75" x14ac:dyDescent="0.25">
      <c r="A116" s="78" t="s">
        <v>134</v>
      </c>
      <c r="B116" s="79">
        <f>SUM(B117:B120)</f>
        <v>22574</v>
      </c>
      <c r="C116" s="79">
        <f t="shared" ref="C116:M116" si="30">SUM(C117:C120)</f>
        <v>22672</v>
      </c>
      <c r="D116" s="79">
        <f t="shared" si="30"/>
        <v>22293</v>
      </c>
      <c r="E116" s="79">
        <f t="shared" si="30"/>
        <v>21243</v>
      </c>
      <c r="F116" s="79">
        <f t="shared" si="30"/>
        <v>20985</v>
      </c>
      <c r="G116" s="79">
        <f t="shared" si="30"/>
        <v>20974</v>
      </c>
      <c r="H116" s="79">
        <f t="shared" si="30"/>
        <v>19827</v>
      </c>
      <c r="I116" s="79">
        <f t="shared" si="30"/>
        <v>20330</v>
      </c>
      <c r="J116" s="79">
        <f t="shared" si="30"/>
        <v>20237</v>
      </c>
      <c r="K116" s="79">
        <f t="shared" si="30"/>
        <v>21695</v>
      </c>
      <c r="L116" s="79">
        <f t="shared" si="30"/>
        <v>21220</v>
      </c>
      <c r="M116" s="79">
        <f t="shared" si="30"/>
        <v>23369</v>
      </c>
      <c r="N116" s="25"/>
      <c r="O116" s="25"/>
      <c r="P116" s="25"/>
      <c r="Q116" s="25"/>
      <c r="R116" s="52"/>
    </row>
    <row r="117" spans="1:18" x14ac:dyDescent="0.25">
      <c r="A117" s="24" t="s">
        <v>135</v>
      </c>
      <c r="B117" s="18">
        <v>4162</v>
      </c>
      <c r="C117" s="18">
        <v>4408</v>
      </c>
      <c r="D117" s="18">
        <v>4067</v>
      </c>
      <c r="E117" s="18">
        <v>3785</v>
      </c>
      <c r="F117" s="18">
        <v>3943</v>
      </c>
      <c r="G117" s="18">
        <v>3876</v>
      </c>
      <c r="H117" s="18">
        <v>3839</v>
      </c>
      <c r="I117" s="18">
        <v>3870</v>
      </c>
      <c r="J117" s="18">
        <v>3881</v>
      </c>
      <c r="K117" s="18">
        <v>3979</v>
      </c>
      <c r="L117" s="18">
        <v>4001</v>
      </c>
      <c r="M117" s="18">
        <v>4367</v>
      </c>
      <c r="N117" s="25"/>
      <c r="O117" s="25"/>
      <c r="P117" s="25"/>
      <c r="Q117" s="25"/>
      <c r="R117" s="52"/>
    </row>
    <row r="118" spans="1:18" x14ac:dyDescent="0.25">
      <c r="A118" s="24" t="s">
        <v>136</v>
      </c>
      <c r="B118" s="18">
        <v>10199</v>
      </c>
      <c r="C118" s="18">
        <v>10220</v>
      </c>
      <c r="D118" s="18">
        <v>9537</v>
      </c>
      <c r="E118" s="18">
        <v>8911</v>
      </c>
      <c r="F118" s="18">
        <v>8171</v>
      </c>
      <c r="G118" s="18">
        <v>8231</v>
      </c>
      <c r="H118" s="18">
        <v>7352</v>
      </c>
      <c r="I118" s="18">
        <v>7810</v>
      </c>
      <c r="J118" s="18">
        <v>7682</v>
      </c>
      <c r="K118" s="18">
        <v>9106</v>
      </c>
      <c r="L118" s="18">
        <v>8450</v>
      </c>
      <c r="M118" s="18">
        <v>11234</v>
      </c>
      <c r="N118" s="25"/>
      <c r="O118" s="25"/>
      <c r="P118" s="25"/>
      <c r="Q118" s="25"/>
      <c r="R118" s="52"/>
    </row>
    <row r="119" spans="1:18" x14ac:dyDescent="0.25">
      <c r="A119" s="24" t="s">
        <v>137</v>
      </c>
      <c r="B119" s="18">
        <v>5186</v>
      </c>
      <c r="C119" s="18">
        <v>5159</v>
      </c>
      <c r="D119" s="18">
        <v>5309</v>
      </c>
      <c r="E119" s="18">
        <v>5310</v>
      </c>
      <c r="F119" s="18">
        <v>5165</v>
      </c>
      <c r="G119" s="18">
        <v>5157</v>
      </c>
      <c r="H119" s="18">
        <v>4946</v>
      </c>
      <c r="I119" s="18">
        <v>5082</v>
      </c>
      <c r="J119" s="18">
        <v>4985</v>
      </c>
      <c r="K119" s="18">
        <v>5318</v>
      </c>
      <c r="L119" s="18">
        <v>5181</v>
      </c>
      <c r="M119" s="18">
        <v>5132</v>
      </c>
      <c r="N119" s="25"/>
      <c r="O119" s="25"/>
      <c r="P119" s="25"/>
      <c r="Q119" s="25"/>
      <c r="R119" s="52"/>
    </row>
    <row r="120" spans="1:18" x14ac:dyDescent="0.25">
      <c r="A120" s="24" t="s">
        <v>138</v>
      </c>
      <c r="B120" s="18">
        <v>3027</v>
      </c>
      <c r="C120" s="18">
        <v>2885</v>
      </c>
      <c r="D120" s="18">
        <v>3380</v>
      </c>
      <c r="E120" s="18">
        <v>3237</v>
      </c>
      <c r="F120" s="18">
        <v>3706</v>
      </c>
      <c r="G120" s="18">
        <v>3710</v>
      </c>
      <c r="H120" s="18">
        <v>3690</v>
      </c>
      <c r="I120" s="18">
        <v>3568</v>
      </c>
      <c r="J120" s="18">
        <v>3689</v>
      </c>
      <c r="K120" s="18">
        <v>3292</v>
      </c>
      <c r="L120" s="18">
        <v>3588</v>
      </c>
      <c r="M120" s="18">
        <v>2636</v>
      </c>
      <c r="N120" s="25"/>
      <c r="O120" s="25"/>
      <c r="P120" s="25"/>
      <c r="Q120" s="25"/>
      <c r="R120" s="52"/>
    </row>
    <row r="121" spans="1:18" x14ac:dyDescent="0.25">
      <c r="A121" s="58"/>
      <c r="B121" s="66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52"/>
    </row>
    <row r="122" spans="1:18" x14ac:dyDescent="0.25">
      <c r="A122" s="80" t="s">
        <v>139</v>
      </c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25"/>
      <c r="O122" s="25"/>
      <c r="P122" s="25"/>
      <c r="Q122" s="25"/>
      <c r="R122" s="52"/>
    </row>
    <row r="123" spans="1:18" x14ac:dyDescent="0.25">
      <c r="A123" s="24" t="s">
        <v>140</v>
      </c>
      <c r="B123" s="18">
        <v>187.97</v>
      </c>
      <c r="C123" s="18">
        <v>189.37977500000002</v>
      </c>
      <c r="D123" s="18">
        <v>190.80012331250003</v>
      </c>
      <c r="E123" s="18">
        <v>192.23112423734381</v>
      </c>
      <c r="F123" s="18">
        <v>193.67285766912389</v>
      </c>
      <c r="G123" s="18">
        <v>195.12540410164232</v>
      </c>
      <c r="H123" s="18">
        <v>196.58884463240466</v>
      </c>
      <c r="I123" s="18">
        <v>198.0632609671477</v>
      </c>
      <c r="J123" s="18">
        <v>199.54873542440131</v>
      </c>
      <c r="K123" s="18">
        <v>201.04535094008435</v>
      </c>
      <c r="L123" s="18">
        <v>202.55319107213498</v>
      </c>
      <c r="M123" s="18">
        <v>204.07234000517602</v>
      </c>
      <c r="N123" s="25"/>
      <c r="O123" s="25"/>
      <c r="P123" s="25"/>
      <c r="Q123" s="25"/>
      <c r="R123" s="52"/>
    </row>
    <row r="124" spans="1:18" x14ac:dyDescent="0.25">
      <c r="A124" s="24" t="s">
        <v>141</v>
      </c>
      <c r="B124" s="18">
        <v>209.29</v>
      </c>
      <c r="C124" s="18">
        <v>210.85967500000001</v>
      </c>
      <c r="D124" s="18">
        <v>212.44112256250003</v>
      </c>
      <c r="E124" s="18">
        <v>214.0344309817188</v>
      </c>
      <c r="F124" s="18">
        <v>215.6396892140817</v>
      </c>
      <c r="G124" s="18">
        <v>217.25698688318732</v>
      </c>
      <c r="H124" s="18">
        <v>218.88641428481125</v>
      </c>
      <c r="I124" s="18">
        <v>220.52806239194734</v>
      </c>
      <c r="J124" s="18">
        <v>222.18202285988696</v>
      </c>
      <c r="K124" s="18">
        <v>223.84838803133613</v>
      </c>
      <c r="L124" s="18">
        <v>225.52725094157117</v>
      </c>
      <c r="M124" s="18">
        <v>227.21870532363297</v>
      </c>
      <c r="N124" s="25"/>
      <c r="O124" s="25"/>
      <c r="P124" s="25"/>
      <c r="Q124" s="25"/>
      <c r="R124" s="52"/>
    </row>
    <row r="125" spans="1:18" x14ac:dyDescent="0.25">
      <c r="A125" s="24" t="s">
        <v>142</v>
      </c>
      <c r="B125" s="18">
        <v>260.13</v>
      </c>
      <c r="C125" s="18">
        <v>262.08097500000002</v>
      </c>
      <c r="D125" s="18">
        <v>264.04658231250005</v>
      </c>
      <c r="E125" s="18">
        <v>266.02693167984381</v>
      </c>
      <c r="F125" s="18">
        <v>268.02213366744263</v>
      </c>
      <c r="G125" s="18">
        <v>270.03229966994849</v>
      </c>
      <c r="H125" s="18">
        <v>272.05754191747309</v>
      </c>
      <c r="I125" s="18">
        <v>274.09797348185413</v>
      </c>
      <c r="J125" s="18">
        <v>276.15370828296807</v>
      </c>
      <c r="K125" s="18">
        <v>278.22486109509032</v>
      </c>
      <c r="L125" s="18">
        <v>280.31154755330351</v>
      </c>
      <c r="M125" s="18">
        <v>282.41388415995328</v>
      </c>
      <c r="N125" s="25"/>
      <c r="O125" s="25"/>
      <c r="P125" s="25"/>
      <c r="Q125" s="25"/>
      <c r="R125" s="52"/>
    </row>
    <row r="126" spans="1:18" x14ac:dyDescent="0.25">
      <c r="A126" s="58"/>
      <c r="B126" s="66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52"/>
    </row>
    <row r="127" spans="1:18" ht="15.75" x14ac:dyDescent="0.25">
      <c r="A127" s="82" t="s">
        <v>143</v>
      </c>
      <c r="B127" s="83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56"/>
      <c r="O127" s="56"/>
      <c r="P127" s="56"/>
      <c r="Q127" s="56"/>
      <c r="R127" s="57"/>
    </row>
    <row r="128" spans="1:18" x14ac:dyDescent="0.25">
      <c r="A128" s="58" t="s">
        <v>143</v>
      </c>
      <c r="B128" s="85">
        <f>+B130/B129</f>
        <v>0.99000612527805543</v>
      </c>
      <c r="C128" s="85">
        <f t="shared" ref="C128:M128" si="31">+C130/C129</f>
        <v>0.99000612527805543</v>
      </c>
      <c r="D128" s="85">
        <f t="shared" si="31"/>
        <v>0.99000612527805543</v>
      </c>
      <c r="E128" s="85">
        <f t="shared" si="31"/>
        <v>0.99000612527805543</v>
      </c>
      <c r="F128" s="85">
        <f t="shared" si="31"/>
        <v>0.99</v>
      </c>
      <c r="G128" s="85">
        <f t="shared" si="31"/>
        <v>0.99</v>
      </c>
      <c r="H128" s="85">
        <f t="shared" si="31"/>
        <v>0.99</v>
      </c>
      <c r="I128" s="85">
        <f t="shared" si="31"/>
        <v>0.99</v>
      </c>
      <c r="J128" s="85">
        <f t="shared" si="31"/>
        <v>0.99</v>
      </c>
      <c r="K128" s="85">
        <f t="shared" si="31"/>
        <v>0.99</v>
      </c>
      <c r="L128" s="85">
        <f t="shared" si="31"/>
        <v>0.99</v>
      </c>
      <c r="M128" s="85">
        <f t="shared" si="31"/>
        <v>0.99</v>
      </c>
      <c r="N128" s="86"/>
      <c r="O128" s="86"/>
      <c r="P128" s="86"/>
      <c r="Q128" s="86"/>
      <c r="R128" s="86"/>
    </row>
    <row r="129" spans="1:18" x14ac:dyDescent="0.25">
      <c r="A129" s="58" t="s">
        <v>144</v>
      </c>
      <c r="B129" s="73">
        <v>62038</v>
      </c>
      <c r="C129" s="73">
        <v>62038</v>
      </c>
      <c r="D129" s="73">
        <v>62038</v>
      </c>
      <c r="E129" s="73">
        <v>62038</v>
      </c>
      <c r="F129" s="73">
        <v>62038</v>
      </c>
      <c r="G129" s="73">
        <v>62038</v>
      </c>
      <c r="H129" s="73">
        <v>62038</v>
      </c>
      <c r="I129" s="73">
        <v>62038</v>
      </c>
      <c r="J129" s="73">
        <v>62038</v>
      </c>
      <c r="K129" s="73">
        <v>62038</v>
      </c>
      <c r="L129" s="73">
        <v>62038</v>
      </c>
      <c r="M129" s="73">
        <v>62038</v>
      </c>
      <c r="N129" s="66"/>
      <c r="O129" s="66"/>
      <c r="P129" s="25"/>
      <c r="Q129" s="25"/>
      <c r="R129" s="52"/>
    </row>
    <row r="130" spans="1:18" x14ac:dyDescent="0.25">
      <c r="A130" s="58" t="s">
        <v>145</v>
      </c>
      <c r="B130" s="73">
        <v>61418</v>
      </c>
      <c r="C130" s="73">
        <v>61418</v>
      </c>
      <c r="D130" s="73">
        <v>61418</v>
      </c>
      <c r="E130" s="73">
        <v>61418</v>
      </c>
      <c r="F130" s="73">
        <f t="shared" ref="F130:M130" si="32">F129*0.99</f>
        <v>61417.62</v>
      </c>
      <c r="G130" s="73">
        <f t="shared" si="32"/>
        <v>61417.62</v>
      </c>
      <c r="H130" s="73">
        <f t="shared" si="32"/>
        <v>61417.62</v>
      </c>
      <c r="I130" s="73">
        <f t="shared" si="32"/>
        <v>61417.62</v>
      </c>
      <c r="J130" s="73">
        <f t="shared" si="32"/>
        <v>61417.62</v>
      </c>
      <c r="K130" s="73">
        <f t="shared" si="32"/>
        <v>61417.62</v>
      </c>
      <c r="L130" s="73">
        <f t="shared" si="32"/>
        <v>61417.62</v>
      </c>
      <c r="M130" s="73">
        <f t="shared" si="32"/>
        <v>61417.62</v>
      </c>
      <c r="N130" s="66"/>
      <c r="O130" s="66"/>
      <c r="P130" s="25"/>
      <c r="Q130" s="25"/>
      <c r="R130" s="52"/>
    </row>
    <row r="131" spans="1:18" x14ac:dyDescent="0.25">
      <c r="A131" s="58" t="s">
        <v>146</v>
      </c>
      <c r="B131" s="73">
        <v>60797</v>
      </c>
      <c r="C131" s="73">
        <v>60797</v>
      </c>
      <c r="D131" s="73">
        <v>60797</v>
      </c>
      <c r="E131" s="73">
        <v>60797</v>
      </c>
      <c r="F131" s="73">
        <f t="shared" ref="F131:M131" si="33">F129*0.98</f>
        <v>60797.24</v>
      </c>
      <c r="G131" s="73">
        <f t="shared" si="33"/>
        <v>60797.24</v>
      </c>
      <c r="H131" s="73">
        <f t="shared" si="33"/>
        <v>60797.24</v>
      </c>
      <c r="I131" s="73">
        <f t="shared" si="33"/>
        <v>60797.24</v>
      </c>
      <c r="J131" s="73">
        <f t="shared" si="33"/>
        <v>60797.24</v>
      </c>
      <c r="K131" s="73">
        <f t="shared" si="33"/>
        <v>60797.24</v>
      </c>
      <c r="L131" s="73">
        <f t="shared" si="33"/>
        <v>60797.24</v>
      </c>
      <c r="M131" s="73">
        <f t="shared" si="33"/>
        <v>60797.24</v>
      </c>
      <c r="N131" s="66"/>
      <c r="O131" s="66"/>
      <c r="P131" s="25"/>
      <c r="Q131" s="25"/>
      <c r="R131" s="52"/>
    </row>
    <row r="132" spans="1:18" x14ac:dyDescent="0.25">
      <c r="A132" s="58" t="s">
        <v>147</v>
      </c>
      <c r="B132" s="73">
        <v>17050</v>
      </c>
      <c r="C132" s="73">
        <v>17318</v>
      </c>
      <c r="D132" s="73">
        <v>17355</v>
      </c>
      <c r="E132" s="73">
        <v>17462</v>
      </c>
      <c r="F132" s="73">
        <v>17958</v>
      </c>
      <c r="G132" s="73">
        <v>18003</v>
      </c>
      <c r="H132" s="73">
        <v>17992</v>
      </c>
      <c r="I132" s="73">
        <v>17997</v>
      </c>
      <c r="J132" s="73">
        <v>18047</v>
      </c>
      <c r="K132" s="73">
        <v>18166</v>
      </c>
      <c r="L132" s="73">
        <v>18343</v>
      </c>
      <c r="M132" s="73">
        <v>17678</v>
      </c>
      <c r="N132" s="66"/>
      <c r="O132" s="66"/>
      <c r="P132" s="25"/>
      <c r="Q132" s="25"/>
      <c r="R132" s="52"/>
    </row>
    <row r="133" spans="1:18" x14ac:dyDescent="0.25">
      <c r="A133" s="58" t="s">
        <v>148</v>
      </c>
      <c r="B133" s="73">
        <v>4884</v>
      </c>
      <c r="C133" s="73">
        <v>4930</v>
      </c>
      <c r="D133" s="73">
        <v>4977</v>
      </c>
      <c r="E133" s="73">
        <v>5005</v>
      </c>
      <c r="F133" s="73">
        <v>5046</v>
      </c>
      <c r="G133" s="73">
        <v>5070</v>
      </c>
      <c r="H133" s="73">
        <v>5108</v>
      </c>
      <c r="I133" s="73">
        <v>5152</v>
      </c>
      <c r="J133" s="73">
        <v>5178</v>
      </c>
      <c r="K133" s="73">
        <v>5173</v>
      </c>
      <c r="L133" s="73">
        <v>5169</v>
      </c>
      <c r="M133" s="73">
        <v>5220</v>
      </c>
      <c r="N133" s="66"/>
      <c r="O133" s="66"/>
      <c r="P133" s="25"/>
      <c r="Q133" s="25"/>
      <c r="R133" s="52"/>
    </row>
    <row r="134" spans="1:18" x14ac:dyDescent="0.25">
      <c r="A134" s="58" t="s">
        <v>149</v>
      </c>
      <c r="B134" s="87">
        <v>0.85</v>
      </c>
      <c r="C134" s="87">
        <v>0.85</v>
      </c>
      <c r="D134" s="87">
        <v>0.85</v>
      </c>
      <c r="E134" s="87">
        <v>0.85</v>
      </c>
      <c r="F134" s="87">
        <v>0.85</v>
      </c>
      <c r="G134" s="87">
        <v>0.85</v>
      </c>
      <c r="H134" s="87">
        <v>0.85</v>
      </c>
      <c r="I134" s="87">
        <v>0.85</v>
      </c>
      <c r="J134" s="87">
        <v>0.85</v>
      </c>
      <c r="K134" s="87">
        <v>0.85</v>
      </c>
      <c r="L134" s="87">
        <v>0.85</v>
      </c>
      <c r="M134" s="87">
        <v>0.85</v>
      </c>
      <c r="N134" s="66"/>
      <c r="O134" s="66"/>
      <c r="P134" s="25"/>
      <c r="Q134" s="25"/>
      <c r="R134" s="52"/>
    </row>
    <row r="135" spans="1:18" x14ac:dyDescent="0.25">
      <c r="A135" s="58" t="s">
        <v>150</v>
      </c>
      <c r="B135" s="87">
        <v>1</v>
      </c>
      <c r="C135" s="87">
        <v>1</v>
      </c>
      <c r="D135" s="87">
        <v>1</v>
      </c>
      <c r="E135" s="87">
        <v>1</v>
      </c>
      <c r="F135" s="87">
        <v>1</v>
      </c>
      <c r="G135" s="87">
        <v>1</v>
      </c>
      <c r="H135" s="87">
        <v>1</v>
      </c>
      <c r="I135" s="87">
        <v>1</v>
      </c>
      <c r="J135" s="87">
        <v>1</v>
      </c>
      <c r="K135" s="87">
        <v>1</v>
      </c>
      <c r="L135" s="87">
        <v>1</v>
      </c>
      <c r="M135" s="87">
        <v>1</v>
      </c>
      <c r="N135" s="66"/>
      <c r="O135" s="66"/>
      <c r="P135" s="25"/>
      <c r="Q135" s="25"/>
      <c r="R135" s="52"/>
    </row>
    <row r="136" spans="1:18" x14ac:dyDescent="0.25">
      <c r="A136" s="58" t="s">
        <v>151</v>
      </c>
      <c r="B136" s="87">
        <v>1.5</v>
      </c>
      <c r="C136" s="87">
        <v>1.5</v>
      </c>
      <c r="D136" s="87">
        <v>1.5</v>
      </c>
      <c r="E136" s="87">
        <v>1.5</v>
      </c>
      <c r="F136" s="87">
        <v>1.5</v>
      </c>
      <c r="G136" s="87">
        <v>1.5</v>
      </c>
      <c r="H136" s="87">
        <v>1.5</v>
      </c>
      <c r="I136" s="87">
        <v>1.5</v>
      </c>
      <c r="J136" s="87">
        <v>1.5</v>
      </c>
      <c r="K136" s="87">
        <v>1.5</v>
      </c>
      <c r="L136" s="87">
        <v>1.5</v>
      </c>
      <c r="M136" s="87">
        <v>1.5</v>
      </c>
      <c r="N136" s="66"/>
      <c r="O136" s="66"/>
      <c r="P136" s="25"/>
      <c r="Q136" s="25"/>
      <c r="R136" s="52"/>
    </row>
    <row r="137" spans="1:18" x14ac:dyDescent="0.25">
      <c r="A137" s="58" t="s">
        <v>152</v>
      </c>
      <c r="B137" s="88">
        <v>0</v>
      </c>
      <c r="C137" s="88">
        <v>0</v>
      </c>
      <c r="D137" s="73">
        <v>0</v>
      </c>
      <c r="E137" s="73">
        <v>0</v>
      </c>
      <c r="F137" s="73">
        <v>0</v>
      </c>
      <c r="G137" s="73">
        <v>0</v>
      </c>
      <c r="H137" s="88">
        <v>0</v>
      </c>
      <c r="I137" s="18">
        <v>0.86</v>
      </c>
      <c r="J137" s="18">
        <v>0</v>
      </c>
      <c r="K137" s="18">
        <v>8.4000000000000005E-2</v>
      </c>
      <c r="L137" s="18">
        <v>0</v>
      </c>
      <c r="M137" s="18">
        <v>0</v>
      </c>
      <c r="N137" s="66"/>
      <c r="O137" s="66"/>
      <c r="P137" s="25"/>
      <c r="Q137" s="25"/>
      <c r="R137" s="52"/>
    </row>
    <row r="138" spans="1:18" x14ac:dyDescent="0.25">
      <c r="A138" s="58" t="s">
        <v>153</v>
      </c>
      <c r="B138" s="18">
        <v>272.68</v>
      </c>
      <c r="C138" s="18">
        <v>272.68</v>
      </c>
      <c r="D138" s="73">
        <f>C138</f>
        <v>272.68</v>
      </c>
      <c r="E138" s="73">
        <f>D138</f>
        <v>272.68</v>
      </c>
      <c r="F138" s="73">
        <f>E138</f>
        <v>272.68</v>
      </c>
      <c r="G138" s="73">
        <f>F138+0</f>
        <v>272.68</v>
      </c>
      <c r="H138" s="73">
        <f>G138</f>
        <v>272.68</v>
      </c>
      <c r="I138" s="18">
        <f>H138</f>
        <v>272.68</v>
      </c>
      <c r="J138" s="18">
        <f>I138</f>
        <v>272.68</v>
      </c>
      <c r="K138" s="18">
        <f>J138+0.09</f>
        <v>272.77</v>
      </c>
      <c r="L138" s="18">
        <f>K138+0.158</f>
        <v>272.928</v>
      </c>
      <c r="M138" s="18">
        <f>L138</f>
        <v>272.928</v>
      </c>
      <c r="N138" s="66"/>
      <c r="O138" s="66"/>
      <c r="P138" s="25"/>
      <c r="Q138" s="25"/>
      <c r="R138" s="52"/>
    </row>
    <row r="139" spans="1:18" x14ac:dyDescent="0.25">
      <c r="A139" s="58" t="s">
        <v>154</v>
      </c>
      <c r="B139" s="73">
        <f>25253-B140</f>
        <v>25197</v>
      </c>
      <c r="C139" s="73">
        <f>25330-C140</f>
        <v>25003</v>
      </c>
      <c r="D139" s="73">
        <f>25396-D140</f>
        <v>25141</v>
      </c>
      <c r="E139" s="73">
        <f>25452-E140</f>
        <v>25121</v>
      </c>
      <c r="F139" s="73">
        <v>25329</v>
      </c>
      <c r="G139" s="73">
        <v>25352</v>
      </c>
      <c r="H139" s="73">
        <v>25406</v>
      </c>
      <c r="I139" s="73">
        <v>25440</v>
      </c>
      <c r="J139" s="73">
        <v>25475</v>
      </c>
      <c r="K139" s="73">
        <v>25450</v>
      </c>
      <c r="L139" s="73">
        <v>25464</v>
      </c>
      <c r="M139" s="73">
        <v>25476</v>
      </c>
      <c r="N139" s="66"/>
      <c r="O139" s="66"/>
      <c r="P139" s="25"/>
      <c r="Q139" s="25"/>
      <c r="R139" s="52"/>
    </row>
    <row r="140" spans="1:18" x14ac:dyDescent="0.25">
      <c r="A140" s="58" t="s">
        <v>155</v>
      </c>
      <c r="B140" s="73">
        <v>56</v>
      </c>
      <c r="C140" s="73">
        <v>327</v>
      </c>
      <c r="D140" s="73">
        <v>255</v>
      </c>
      <c r="E140" s="73">
        <v>331</v>
      </c>
      <c r="F140" s="73">
        <v>324</v>
      </c>
      <c r="G140" s="73">
        <v>336</v>
      </c>
      <c r="H140" s="73">
        <v>330</v>
      </c>
      <c r="I140" s="73">
        <v>327</v>
      </c>
      <c r="J140" s="73">
        <v>332</v>
      </c>
      <c r="K140" s="73">
        <v>380</v>
      </c>
      <c r="L140" s="73">
        <v>393</v>
      </c>
      <c r="M140" s="73">
        <v>394</v>
      </c>
      <c r="N140" s="66"/>
      <c r="O140" s="66"/>
      <c r="P140" s="25"/>
      <c r="Q140" s="25"/>
      <c r="R140" s="52"/>
    </row>
    <row r="141" spans="1:18" x14ac:dyDescent="0.25">
      <c r="A141" s="58" t="s">
        <v>156</v>
      </c>
      <c r="B141" s="73">
        <v>51</v>
      </c>
      <c r="C141" s="73">
        <f>C87-B87</f>
        <v>77</v>
      </c>
      <c r="D141" s="73">
        <f>D87-C87</f>
        <v>66</v>
      </c>
      <c r="E141" s="73">
        <v>67</v>
      </c>
      <c r="F141" s="73">
        <v>138</v>
      </c>
      <c r="G141" s="73">
        <v>48</v>
      </c>
      <c r="H141" s="73">
        <v>57</v>
      </c>
      <c r="I141" s="73">
        <v>49</v>
      </c>
      <c r="J141" s="73">
        <v>44</v>
      </c>
      <c r="K141" s="73">
        <v>37</v>
      </c>
      <c r="L141" s="73">
        <v>44</v>
      </c>
      <c r="M141" s="73">
        <v>38</v>
      </c>
      <c r="N141" s="66"/>
      <c r="O141" s="66"/>
      <c r="P141" s="25"/>
      <c r="Q141" s="25"/>
      <c r="R141" s="52"/>
    </row>
    <row r="142" spans="1:18" x14ac:dyDescent="0.25">
      <c r="A142" s="58" t="s">
        <v>157</v>
      </c>
      <c r="B142" s="73">
        <v>0</v>
      </c>
      <c r="C142" s="73">
        <v>254</v>
      </c>
      <c r="D142" s="73">
        <v>230</v>
      </c>
      <c r="E142" s="73">
        <v>111</v>
      </c>
      <c r="F142" s="73">
        <v>154</v>
      </c>
      <c r="G142" s="73">
        <v>112</v>
      </c>
      <c r="H142" s="73">
        <v>49</v>
      </c>
      <c r="I142" s="73">
        <v>93</v>
      </c>
      <c r="J142" s="73">
        <v>111</v>
      </c>
      <c r="K142" s="73">
        <v>88</v>
      </c>
      <c r="L142" s="73">
        <v>54</v>
      </c>
      <c r="M142" s="73">
        <v>122</v>
      </c>
      <c r="N142" s="66"/>
      <c r="O142" s="66"/>
      <c r="P142" s="25"/>
      <c r="Q142" s="25"/>
      <c r="R142" s="52"/>
    </row>
    <row r="143" spans="1:18" x14ac:dyDescent="0.25">
      <c r="A143" s="58" t="s">
        <v>158</v>
      </c>
      <c r="B143" s="73">
        <v>13</v>
      </c>
      <c r="C143" s="73">
        <v>13</v>
      </c>
      <c r="D143" s="73">
        <v>13</v>
      </c>
      <c r="E143" s="73">
        <v>13</v>
      </c>
      <c r="F143" s="73">
        <v>13</v>
      </c>
      <c r="G143" s="73">
        <v>13</v>
      </c>
      <c r="H143" s="73">
        <v>13</v>
      </c>
      <c r="I143" s="73">
        <v>13</v>
      </c>
      <c r="J143" s="73">
        <v>13</v>
      </c>
      <c r="K143" s="73">
        <v>13</v>
      </c>
      <c r="L143" s="73">
        <v>13</v>
      </c>
      <c r="M143" s="73">
        <v>13</v>
      </c>
      <c r="N143" s="66"/>
      <c r="O143" s="66"/>
      <c r="P143" s="25"/>
      <c r="Q143" s="25"/>
      <c r="R143" s="52"/>
    </row>
    <row r="144" spans="1:18" x14ac:dyDescent="0.25">
      <c r="A144" s="58" t="s">
        <v>159</v>
      </c>
      <c r="B144" s="73">
        <v>0</v>
      </c>
      <c r="C144" s="73">
        <v>0</v>
      </c>
      <c r="D144" s="73">
        <v>0</v>
      </c>
      <c r="E144" s="73">
        <v>0</v>
      </c>
      <c r="F144" s="73">
        <v>0</v>
      </c>
      <c r="G144" s="73">
        <v>0</v>
      </c>
      <c r="H144" s="73">
        <v>0</v>
      </c>
      <c r="I144" s="73">
        <v>0</v>
      </c>
      <c r="J144" s="73">
        <v>0</v>
      </c>
      <c r="K144" s="73">
        <v>0</v>
      </c>
      <c r="L144" s="73">
        <v>0</v>
      </c>
      <c r="M144" s="73">
        <v>0</v>
      </c>
      <c r="N144" s="66"/>
      <c r="O144" s="66"/>
      <c r="P144" s="25"/>
      <c r="Q144" s="25"/>
      <c r="R144" s="52"/>
    </row>
    <row r="145" spans="1:18" x14ac:dyDescent="0.25">
      <c r="A145" s="58" t="s">
        <v>160</v>
      </c>
      <c r="B145" s="73">
        <v>0</v>
      </c>
      <c r="C145" s="73">
        <v>0</v>
      </c>
      <c r="D145" s="73">
        <v>0</v>
      </c>
      <c r="E145" s="73">
        <v>0</v>
      </c>
      <c r="F145" s="73">
        <v>0</v>
      </c>
      <c r="G145" s="73">
        <v>0</v>
      </c>
      <c r="H145" s="73">
        <v>0</v>
      </c>
      <c r="I145" s="73">
        <v>0</v>
      </c>
      <c r="J145" s="73">
        <v>0</v>
      </c>
      <c r="K145" s="73">
        <v>0</v>
      </c>
      <c r="L145" s="73">
        <v>0</v>
      </c>
      <c r="M145" s="73">
        <v>0</v>
      </c>
      <c r="N145" s="66"/>
      <c r="O145" s="66"/>
      <c r="P145" s="25"/>
      <c r="Q145" s="25"/>
      <c r="R145" s="52"/>
    </row>
    <row r="146" spans="1:18" x14ac:dyDescent="0.25">
      <c r="A146" s="58" t="s">
        <v>161</v>
      </c>
      <c r="B146" s="89">
        <f>SUM(B147:B151)</f>
        <v>13</v>
      </c>
      <c r="C146" s="89">
        <f t="shared" ref="C146:M146" si="34">SUM(C147:C151)</f>
        <v>13</v>
      </c>
      <c r="D146" s="89">
        <f t="shared" si="34"/>
        <v>13</v>
      </c>
      <c r="E146" s="89">
        <f t="shared" si="34"/>
        <v>13</v>
      </c>
      <c r="F146" s="89">
        <f t="shared" si="34"/>
        <v>13</v>
      </c>
      <c r="G146" s="89">
        <f t="shared" si="34"/>
        <v>13</v>
      </c>
      <c r="H146" s="89">
        <f t="shared" si="34"/>
        <v>13</v>
      </c>
      <c r="I146" s="89">
        <f t="shared" si="34"/>
        <v>13</v>
      </c>
      <c r="J146" s="89">
        <f t="shared" si="34"/>
        <v>13</v>
      </c>
      <c r="K146" s="89">
        <f t="shared" si="34"/>
        <v>13</v>
      </c>
      <c r="L146" s="89">
        <f t="shared" si="34"/>
        <v>13</v>
      </c>
      <c r="M146" s="89">
        <f t="shared" si="34"/>
        <v>13</v>
      </c>
      <c r="N146" s="66"/>
      <c r="O146" s="66"/>
      <c r="P146" s="25"/>
      <c r="Q146" s="25"/>
      <c r="R146" s="52"/>
    </row>
    <row r="147" spans="1:18" x14ac:dyDescent="0.25">
      <c r="A147" s="58" t="s">
        <v>162</v>
      </c>
      <c r="B147" s="73">
        <v>13</v>
      </c>
      <c r="C147" s="73">
        <v>13</v>
      </c>
      <c r="D147" s="73">
        <v>13</v>
      </c>
      <c r="E147" s="73">
        <v>13</v>
      </c>
      <c r="F147" s="73">
        <v>13</v>
      </c>
      <c r="G147" s="73">
        <v>13</v>
      </c>
      <c r="H147" s="73">
        <v>13</v>
      </c>
      <c r="I147" s="73">
        <v>13</v>
      </c>
      <c r="J147" s="73">
        <v>13</v>
      </c>
      <c r="K147" s="73">
        <v>13</v>
      </c>
      <c r="L147" s="73">
        <v>13</v>
      </c>
      <c r="M147" s="73">
        <v>13</v>
      </c>
      <c r="N147" s="66"/>
      <c r="O147" s="66"/>
      <c r="P147" s="25"/>
      <c r="Q147" s="25"/>
      <c r="R147" s="52"/>
    </row>
    <row r="148" spans="1:18" x14ac:dyDescent="0.25">
      <c r="A148" s="58" t="s">
        <v>163</v>
      </c>
      <c r="B148" s="73">
        <v>0</v>
      </c>
      <c r="C148" s="73">
        <v>0</v>
      </c>
      <c r="D148" s="73">
        <v>0</v>
      </c>
      <c r="E148" s="73">
        <v>0</v>
      </c>
      <c r="F148" s="73">
        <v>0</v>
      </c>
      <c r="G148" s="73">
        <v>0</v>
      </c>
      <c r="H148" s="73">
        <v>0</v>
      </c>
      <c r="I148" s="73">
        <v>0</v>
      </c>
      <c r="J148" s="73">
        <v>0</v>
      </c>
      <c r="K148" s="73">
        <v>0</v>
      </c>
      <c r="L148" s="73">
        <v>0</v>
      </c>
      <c r="M148" s="73">
        <v>0</v>
      </c>
      <c r="N148" s="66"/>
      <c r="O148" s="66"/>
      <c r="P148" s="25"/>
      <c r="Q148" s="25"/>
      <c r="R148" s="52"/>
    </row>
    <row r="149" spans="1:18" x14ac:dyDescent="0.25">
      <c r="A149" s="58" t="s">
        <v>164</v>
      </c>
      <c r="B149" s="73">
        <v>0</v>
      </c>
      <c r="C149" s="73">
        <v>0</v>
      </c>
      <c r="D149" s="73">
        <v>0</v>
      </c>
      <c r="E149" s="73">
        <v>0</v>
      </c>
      <c r="F149" s="73">
        <v>0</v>
      </c>
      <c r="G149" s="73">
        <v>0</v>
      </c>
      <c r="H149" s="73">
        <v>0</v>
      </c>
      <c r="I149" s="73">
        <v>0</v>
      </c>
      <c r="J149" s="73">
        <v>0</v>
      </c>
      <c r="K149" s="73">
        <v>0</v>
      </c>
      <c r="L149" s="73">
        <v>0</v>
      </c>
      <c r="M149" s="73">
        <v>0</v>
      </c>
      <c r="N149" s="66"/>
      <c r="O149" s="66"/>
      <c r="P149" s="25"/>
      <c r="Q149" s="25"/>
      <c r="R149" s="52"/>
    </row>
    <row r="150" spans="1:18" x14ac:dyDescent="0.25">
      <c r="A150" s="58" t="s">
        <v>165</v>
      </c>
      <c r="B150" s="75">
        <v>0</v>
      </c>
      <c r="C150" s="73">
        <v>0</v>
      </c>
      <c r="D150" s="73">
        <v>0</v>
      </c>
      <c r="E150" s="73">
        <v>0</v>
      </c>
      <c r="F150" s="73">
        <v>0</v>
      </c>
      <c r="G150" s="73">
        <v>0</v>
      </c>
      <c r="H150" s="73">
        <v>0</v>
      </c>
      <c r="I150" s="73">
        <v>0</v>
      </c>
      <c r="J150" s="73">
        <v>0</v>
      </c>
      <c r="K150" s="73">
        <v>0</v>
      </c>
      <c r="L150" s="73">
        <v>0</v>
      </c>
      <c r="M150" s="73">
        <v>0</v>
      </c>
      <c r="N150" s="66"/>
      <c r="O150" s="66"/>
      <c r="P150" s="25"/>
      <c r="Q150" s="25"/>
      <c r="R150" s="52"/>
    </row>
    <row r="151" spans="1:18" x14ac:dyDescent="0.25">
      <c r="A151" s="58" t="s">
        <v>166</v>
      </c>
      <c r="B151" s="73">
        <v>0</v>
      </c>
      <c r="C151" s="73">
        <v>0</v>
      </c>
      <c r="D151" s="73">
        <v>0</v>
      </c>
      <c r="E151" s="73">
        <v>0</v>
      </c>
      <c r="F151" s="73">
        <v>0</v>
      </c>
      <c r="G151" s="73">
        <v>0</v>
      </c>
      <c r="H151" s="73">
        <v>0</v>
      </c>
      <c r="I151" s="73">
        <v>0</v>
      </c>
      <c r="J151" s="73">
        <v>0</v>
      </c>
      <c r="K151" s="73">
        <v>0</v>
      </c>
      <c r="L151" s="73">
        <v>0</v>
      </c>
      <c r="M151" s="73">
        <v>0</v>
      </c>
      <c r="N151" s="66"/>
      <c r="O151" s="66"/>
      <c r="P151" s="25"/>
      <c r="Q151" s="25"/>
      <c r="R151" s="52"/>
    </row>
    <row r="152" spans="1:18" x14ac:dyDescent="0.25">
      <c r="A152" s="58" t="s">
        <v>167</v>
      </c>
      <c r="B152" s="90">
        <f t="shared" ref="B152:M152" si="35">+B171/B138</f>
        <v>0.37773214023764118</v>
      </c>
      <c r="C152" s="90">
        <f t="shared" si="35"/>
        <v>0.25671116326829985</v>
      </c>
      <c r="D152" s="90">
        <f t="shared" si="35"/>
        <v>0.37773214023764118</v>
      </c>
      <c r="E152" s="90">
        <f t="shared" si="35"/>
        <v>0.414405163561684</v>
      </c>
      <c r="F152" s="90">
        <f t="shared" si="35"/>
        <v>0.39606865189966262</v>
      </c>
      <c r="G152" s="90">
        <f t="shared" si="35"/>
        <v>0.34839372157840692</v>
      </c>
      <c r="H152" s="90">
        <f t="shared" si="35"/>
        <v>0.41073786122927974</v>
      </c>
      <c r="I152" s="90">
        <f t="shared" si="35"/>
        <v>0.41807246589408831</v>
      </c>
      <c r="J152" s="90">
        <f t="shared" si="35"/>
        <v>0.48408390787736538</v>
      </c>
      <c r="K152" s="90">
        <f t="shared" si="35"/>
        <v>0.46192763133775711</v>
      </c>
      <c r="L152" s="90">
        <f t="shared" si="35"/>
        <v>0.50562785789658815</v>
      </c>
      <c r="M152" s="90">
        <f t="shared" si="35"/>
        <v>0.35540508852151481</v>
      </c>
      <c r="N152" s="66"/>
      <c r="O152" s="66"/>
      <c r="P152" s="25"/>
      <c r="Q152" s="25"/>
      <c r="R152" s="52"/>
    </row>
    <row r="153" spans="1:18" x14ac:dyDescent="0.25">
      <c r="A153" s="58"/>
      <c r="B153" s="66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52"/>
    </row>
    <row r="154" spans="1:18" x14ac:dyDescent="0.25">
      <c r="A154" s="65" t="s">
        <v>168</v>
      </c>
      <c r="B154" s="66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52"/>
    </row>
    <row r="155" spans="1:18" ht="15.75" x14ac:dyDescent="0.25">
      <c r="A155" s="28" t="s">
        <v>169</v>
      </c>
      <c r="B155" s="67">
        <f>+B156+B159+B162+B165</f>
        <v>107</v>
      </c>
      <c r="C155" s="67">
        <f t="shared" ref="C155:M155" si="36">+C156+C159+C162+C165</f>
        <v>105</v>
      </c>
      <c r="D155" s="67">
        <f t="shared" si="36"/>
        <v>105</v>
      </c>
      <c r="E155" s="67">
        <f t="shared" si="36"/>
        <v>105</v>
      </c>
      <c r="F155" s="67">
        <f t="shared" si="36"/>
        <v>105</v>
      </c>
      <c r="G155" s="67">
        <f t="shared" si="36"/>
        <v>105</v>
      </c>
      <c r="H155" s="67">
        <f t="shared" si="36"/>
        <v>105</v>
      </c>
      <c r="I155" s="67">
        <f t="shared" si="36"/>
        <v>105</v>
      </c>
      <c r="J155" s="67">
        <f t="shared" si="36"/>
        <v>105</v>
      </c>
      <c r="K155" s="67">
        <f t="shared" si="36"/>
        <v>105</v>
      </c>
      <c r="L155" s="67">
        <f t="shared" si="36"/>
        <v>105</v>
      </c>
      <c r="M155" s="67">
        <f t="shared" si="36"/>
        <v>105</v>
      </c>
      <c r="N155" s="68"/>
      <c r="O155" s="68"/>
      <c r="P155" s="56"/>
      <c r="Q155" s="56"/>
      <c r="R155" s="57"/>
    </row>
    <row r="156" spans="1:18" x14ac:dyDescent="0.25">
      <c r="A156" s="21" t="s">
        <v>170</v>
      </c>
      <c r="B156" s="89">
        <f>B157+B158</f>
        <v>25</v>
      </c>
      <c r="C156" s="89">
        <f t="shared" ref="C156:M156" si="37">C157+C158</f>
        <v>25</v>
      </c>
      <c r="D156" s="89">
        <f t="shared" si="37"/>
        <v>25</v>
      </c>
      <c r="E156" s="89">
        <f t="shared" si="37"/>
        <v>25</v>
      </c>
      <c r="F156" s="89">
        <f t="shared" si="37"/>
        <v>25</v>
      </c>
      <c r="G156" s="89">
        <f t="shared" si="37"/>
        <v>25</v>
      </c>
      <c r="H156" s="89">
        <f t="shared" si="37"/>
        <v>25</v>
      </c>
      <c r="I156" s="89">
        <f t="shared" si="37"/>
        <v>25</v>
      </c>
      <c r="J156" s="89">
        <f t="shared" si="37"/>
        <v>25</v>
      </c>
      <c r="K156" s="89">
        <f t="shared" si="37"/>
        <v>25</v>
      </c>
      <c r="L156" s="89">
        <f t="shared" si="37"/>
        <v>25</v>
      </c>
      <c r="M156" s="89">
        <f t="shared" si="37"/>
        <v>25</v>
      </c>
      <c r="N156" s="66"/>
      <c r="O156" s="66"/>
      <c r="P156" s="25"/>
      <c r="Q156" s="25"/>
      <c r="R156" s="52"/>
    </row>
    <row r="157" spans="1:18" x14ac:dyDescent="0.25">
      <c r="A157" s="21" t="s">
        <v>171</v>
      </c>
      <c r="B157" s="73">
        <v>12</v>
      </c>
      <c r="C157" s="73">
        <v>12</v>
      </c>
      <c r="D157" s="73">
        <v>12</v>
      </c>
      <c r="E157" s="73">
        <v>12</v>
      </c>
      <c r="F157" s="73">
        <v>12</v>
      </c>
      <c r="G157" s="73">
        <v>12</v>
      </c>
      <c r="H157" s="73">
        <v>12</v>
      </c>
      <c r="I157" s="73">
        <v>12</v>
      </c>
      <c r="J157" s="73">
        <v>12</v>
      </c>
      <c r="K157" s="73">
        <v>12</v>
      </c>
      <c r="L157" s="73">
        <v>12</v>
      </c>
      <c r="M157" s="73">
        <v>12</v>
      </c>
      <c r="N157" s="66"/>
      <c r="O157" s="66"/>
      <c r="P157" s="25"/>
      <c r="Q157" s="25"/>
      <c r="R157" s="52"/>
    </row>
    <row r="158" spans="1:18" x14ac:dyDescent="0.25">
      <c r="A158" s="21" t="s">
        <v>172</v>
      </c>
      <c r="B158" s="73">
        <v>13</v>
      </c>
      <c r="C158" s="73">
        <v>13</v>
      </c>
      <c r="D158" s="73">
        <v>13</v>
      </c>
      <c r="E158" s="73">
        <v>13</v>
      </c>
      <c r="F158" s="73">
        <v>13</v>
      </c>
      <c r="G158" s="73">
        <v>13</v>
      </c>
      <c r="H158" s="73">
        <v>13</v>
      </c>
      <c r="I158" s="73">
        <v>13</v>
      </c>
      <c r="J158" s="73">
        <v>13</v>
      </c>
      <c r="K158" s="73">
        <v>13</v>
      </c>
      <c r="L158" s="73">
        <v>13</v>
      </c>
      <c r="M158" s="73">
        <v>13</v>
      </c>
      <c r="N158" s="66"/>
      <c r="O158" s="66"/>
      <c r="P158" s="25"/>
      <c r="Q158" s="25"/>
      <c r="R158" s="52"/>
    </row>
    <row r="159" spans="1:18" s="92" customFormat="1" x14ac:dyDescent="0.25">
      <c r="A159" s="91" t="s">
        <v>173</v>
      </c>
      <c r="B159" s="89">
        <f>B160+B161</f>
        <v>24</v>
      </c>
      <c r="C159" s="89">
        <f t="shared" ref="C159:M159" si="38">C160+C161</f>
        <v>24</v>
      </c>
      <c r="D159" s="89">
        <f t="shared" si="38"/>
        <v>24</v>
      </c>
      <c r="E159" s="89">
        <f t="shared" si="38"/>
        <v>24</v>
      </c>
      <c r="F159" s="89">
        <f t="shared" si="38"/>
        <v>24</v>
      </c>
      <c r="G159" s="89">
        <f t="shared" si="38"/>
        <v>24</v>
      </c>
      <c r="H159" s="89">
        <f t="shared" si="38"/>
        <v>24</v>
      </c>
      <c r="I159" s="89">
        <f t="shared" si="38"/>
        <v>24</v>
      </c>
      <c r="J159" s="89">
        <f t="shared" si="38"/>
        <v>24</v>
      </c>
      <c r="K159" s="89">
        <f t="shared" si="38"/>
        <v>24</v>
      </c>
      <c r="L159" s="89">
        <f t="shared" si="38"/>
        <v>24</v>
      </c>
      <c r="M159" s="89">
        <f t="shared" si="38"/>
        <v>24</v>
      </c>
      <c r="N159" s="66"/>
      <c r="O159" s="66"/>
      <c r="P159" s="25"/>
      <c r="Q159" s="25"/>
      <c r="R159" s="52"/>
    </row>
    <row r="160" spans="1:18" x14ac:dyDescent="0.25">
      <c r="A160" s="21" t="s">
        <v>171</v>
      </c>
      <c r="B160" s="73">
        <v>5</v>
      </c>
      <c r="C160" s="73">
        <v>5</v>
      </c>
      <c r="D160" s="73">
        <v>5</v>
      </c>
      <c r="E160" s="73">
        <v>5</v>
      </c>
      <c r="F160" s="73">
        <v>5</v>
      </c>
      <c r="G160" s="73">
        <v>5</v>
      </c>
      <c r="H160" s="73">
        <v>5</v>
      </c>
      <c r="I160" s="73">
        <v>5</v>
      </c>
      <c r="J160" s="73">
        <v>5</v>
      </c>
      <c r="K160" s="73">
        <v>5</v>
      </c>
      <c r="L160" s="73">
        <v>5</v>
      </c>
      <c r="M160" s="73">
        <v>5</v>
      </c>
      <c r="N160" s="66"/>
      <c r="O160" s="66"/>
      <c r="P160" s="25"/>
      <c r="Q160" s="25"/>
      <c r="R160" s="52"/>
    </row>
    <row r="161" spans="1:18" x14ac:dyDescent="0.25">
      <c r="A161" s="21" t="s">
        <v>172</v>
      </c>
      <c r="B161" s="73">
        <v>19</v>
      </c>
      <c r="C161" s="73">
        <v>19</v>
      </c>
      <c r="D161" s="73">
        <v>19</v>
      </c>
      <c r="E161" s="73">
        <v>19</v>
      </c>
      <c r="F161" s="73">
        <v>19</v>
      </c>
      <c r="G161" s="73">
        <v>19</v>
      </c>
      <c r="H161" s="73">
        <v>19</v>
      </c>
      <c r="I161" s="73">
        <v>19</v>
      </c>
      <c r="J161" s="73">
        <v>19</v>
      </c>
      <c r="K161" s="73">
        <v>19</v>
      </c>
      <c r="L161" s="73">
        <v>19</v>
      </c>
      <c r="M161" s="73">
        <v>19</v>
      </c>
      <c r="N161" s="66"/>
      <c r="O161" s="66"/>
      <c r="P161" s="25"/>
      <c r="Q161" s="25"/>
      <c r="R161" s="52"/>
    </row>
    <row r="162" spans="1:18" s="92" customFormat="1" x14ac:dyDescent="0.25">
      <c r="A162" s="91" t="s">
        <v>174</v>
      </c>
      <c r="B162" s="89">
        <f>B163+B164</f>
        <v>46</v>
      </c>
      <c r="C162" s="89">
        <f t="shared" ref="C162:M162" si="39">C163+C164</f>
        <v>46</v>
      </c>
      <c r="D162" s="89">
        <f t="shared" si="39"/>
        <v>46</v>
      </c>
      <c r="E162" s="89">
        <f t="shared" si="39"/>
        <v>46</v>
      </c>
      <c r="F162" s="89">
        <f t="shared" si="39"/>
        <v>46</v>
      </c>
      <c r="G162" s="89">
        <f t="shared" si="39"/>
        <v>46</v>
      </c>
      <c r="H162" s="89">
        <f t="shared" si="39"/>
        <v>46</v>
      </c>
      <c r="I162" s="89">
        <f t="shared" si="39"/>
        <v>46</v>
      </c>
      <c r="J162" s="89">
        <f t="shared" si="39"/>
        <v>46</v>
      </c>
      <c r="K162" s="89">
        <f t="shared" si="39"/>
        <v>46</v>
      </c>
      <c r="L162" s="89">
        <f t="shared" si="39"/>
        <v>46</v>
      </c>
      <c r="M162" s="89">
        <f t="shared" si="39"/>
        <v>46</v>
      </c>
      <c r="N162" s="66"/>
      <c r="O162" s="66"/>
      <c r="P162" s="25"/>
      <c r="Q162" s="25"/>
      <c r="R162" s="52"/>
    </row>
    <row r="163" spans="1:18" x14ac:dyDescent="0.25">
      <c r="A163" s="21" t="s">
        <v>171</v>
      </c>
      <c r="B163" s="73">
        <v>7</v>
      </c>
      <c r="C163" s="73">
        <v>7</v>
      </c>
      <c r="D163" s="73">
        <v>7</v>
      </c>
      <c r="E163" s="73">
        <v>7</v>
      </c>
      <c r="F163" s="73">
        <v>7</v>
      </c>
      <c r="G163" s="73">
        <v>7</v>
      </c>
      <c r="H163" s="73">
        <v>7</v>
      </c>
      <c r="I163" s="73">
        <v>7</v>
      </c>
      <c r="J163" s="73">
        <v>7</v>
      </c>
      <c r="K163" s="73">
        <v>7</v>
      </c>
      <c r="L163" s="73">
        <v>7</v>
      </c>
      <c r="M163" s="73">
        <v>7</v>
      </c>
      <c r="N163" s="66"/>
      <c r="O163" s="66"/>
      <c r="P163" s="25"/>
      <c r="Q163" s="25"/>
      <c r="R163" s="52"/>
    </row>
    <row r="164" spans="1:18" x14ac:dyDescent="0.25">
      <c r="A164" s="21" t="s">
        <v>172</v>
      </c>
      <c r="B164" s="73">
        <v>39</v>
      </c>
      <c r="C164" s="73">
        <v>39</v>
      </c>
      <c r="D164" s="73">
        <v>39</v>
      </c>
      <c r="E164" s="73">
        <v>39</v>
      </c>
      <c r="F164" s="73">
        <v>39</v>
      </c>
      <c r="G164" s="73">
        <v>39</v>
      </c>
      <c r="H164" s="73">
        <v>39</v>
      </c>
      <c r="I164" s="73">
        <v>39</v>
      </c>
      <c r="J164" s="73">
        <v>39</v>
      </c>
      <c r="K164" s="73">
        <v>39</v>
      </c>
      <c r="L164" s="73">
        <v>39</v>
      </c>
      <c r="M164" s="73">
        <v>39</v>
      </c>
      <c r="N164" s="66"/>
      <c r="O164" s="66"/>
      <c r="P164" s="25"/>
      <c r="Q164" s="25"/>
      <c r="R164" s="52"/>
    </row>
    <row r="165" spans="1:18" x14ac:dyDescent="0.25">
      <c r="A165" s="91" t="s">
        <v>175</v>
      </c>
      <c r="B165" s="73">
        <v>12</v>
      </c>
      <c r="C165" s="73">
        <v>10</v>
      </c>
      <c r="D165" s="73">
        <v>10</v>
      </c>
      <c r="E165" s="73">
        <v>10</v>
      </c>
      <c r="F165" s="73">
        <v>10</v>
      </c>
      <c r="G165" s="73">
        <v>10</v>
      </c>
      <c r="H165" s="73">
        <v>10</v>
      </c>
      <c r="I165" s="73">
        <v>10</v>
      </c>
      <c r="J165" s="73">
        <v>10</v>
      </c>
      <c r="K165" s="73">
        <v>10</v>
      </c>
      <c r="L165" s="73">
        <v>10</v>
      </c>
      <c r="M165" s="73">
        <v>10</v>
      </c>
      <c r="N165" s="66"/>
      <c r="O165" s="66"/>
      <c r="P165" s="25"/>
      <c r="Q165" s="25"/>
      <c r="R165" s="52"/>
    </row>
    <row r="166" spans="1:18" s="92" customFormat="1" x14ac:dyDescent="0.25">
      <c r="A166" s="93" t="s">
        <v>176</v>
      </c>
      <c r="B166" s="89">
        <f>B167+B168</f>
        <v>29</v>
      </c>
      <c r="C166" s="89">
        <f t="shared" ref="C166:M166" si="40">C167+C168</f>
        <v>29</v>
      </c>
      <c r="D166" s="89">
        <f t="shared" si="40"/>
        <v>29</v>
      </c>
      <c r="E166" s="89">
        <f t="shared" si="40"/>
        <v>29</v>
      </c>
      <c r="F166" s="89">
        <f t="shared" si="40"/>
        <v>29</v>
      </c>
      <c r="G166" s="89">
        <f t="shared" si="40"/>
        <v>29</v>
      </c>
      <c r="H166" s="89">
        <f t="shared" si="40"/>
        <v>29</v>
      </c>
      <c r="I166" s="89">
        <f t="shared" si="40"/>
        <v>29</v>
      </c>
      <c r="J166" s="89">
        <f t="shared" si="40"/>
        <v>29</v>
      </c>
      <c r="K166" s="89">
        <f t="shared" si="40"/>
        <v>29</v>
      </c>
      <c r="L166" s="89">
        <f t="shared" si="40"/>
        <v>29</v>
      </c>
      <c r="M166" s="89">
        <f t="shared" si="40"/>
        <v>29</v>
      </c>
      <c r="N166" s="66"/>
      <c r="O166" s="66"/>
      <c r="P166" s="25"/>
      <c r="Q166" s="25"/>
      <c r="R166" s="52"/>
    </row>
    <row r="167" spans="1:18" x14ac:dyDescent="0.25">
      <c r="A167" s="21" t="s">
        <v>171</v>
      </c>
      <c r="B167" s="73">
        <v>2</v>
      </c>
      <c r="C167" s="73">
        <v>2</v>
      </c>
      <c r="D167" s="73">
        <v>2</v>
      </c>
      <c r="E167" s="73">
        <v>2</v>
      </c>
      <c r="F167" s="73">
        <v>2</v>
      </c>
      <c r="G167" s="73">
        <v>2</v>
      </c>
      <c r="H167" s="73">
        <v>2</v>
      </c>
      <c r="I167" s="73">
        <v>2</v>
      </c>
      <c r="J167" s="73">
        <v>2</v>
      </c>
      <c r="K167" s="73">
        <v>2</v>
      </c>
      <c r="L167" s="73">
        <v>2</v>
      </c>
      <c r="M167" s="73">
        <v>2</v>
      </c>
      <c r="N167" s="66"/>
      <c r="O167" s="66"/>
      <c r="P167" s="25"/>
      <c r="Q167" s="25"/>
      <c r="R167" s="52"/>
    </row>
    <row r="168" spans="1:18" x14ac:dyDescent="0.25">
      <c r="A168" s="21" t="s">
        <v>172</v>
      </c>
      <c r="B168" s="73">
        <v>27</v>
      </c>
      <c r="C168" s="73">
        <v>27</v>
      </c>
      <c r="D168" s="73">
        <v>27</v>
      </c>
      <c r="E168" s="73">
        <v>27</v>
      </c>
      <c r="F168" s="73">
        <v>27</v>
      </c>
      <c r="G168" s="73">
        <v>27</v>
      </c>
      <c r="H168" s="73">
        <v>27</v>
      </c>
      <c r="I168" s="73">
        <v>27</v>
      </c>
      <c r="J168" s="73">
        <v>27</v>
      </c>
      <c r="K168" s="73">
        <v>27</v>
      </c>
      <c r="L168" s="73">
        <v>27</v>
      </c>
      <c r="M168" s="73">
        <v>27</v>
      </c>
      <c r="N168" s="66"/>
      <c r="O168" s="66"/>
      <c r="P168" s="25"/>
      <c r="Q168" s="25"/>
      <c r="R168" s="52"/>
    </row>
    <row r="169" spans="1:18" x14ac:dyDescent="0.25">
      <c r="A169" s="58"/>
      <c r="B169" s="75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66"/>
      <c r="O169" s="66"/>
      <c r="P169" s="25"/>
      <c r="Q169" s="25"/>
      <c r="R169" s="52"/>
    </row>
    <row r="170" spans="1:18" x14ac:dyDescent="0.25">
      <c r="A170" s="58" t="s">
        <v>177</v>
      </c>
      <c r="B170" s="73">
        <v>2</v>
      </c>
      <c r="C170" s="73">
        <v>2</v>
      </c>
      <c r="D170" s="73">
        <v>2</v>
      </c>
      <c r="E170" s="73">
        <v>2</v>
      </c>
      <c r="F170" s="73">
        <v>2</v>
      </c>
      <c r="G170" s="73">
        <v>2</v>
      </c>
      <c r="H170" s="73">
        <v>2</v>
      </c>
      <c r="I170" s="73">
        <v>2</v>
      </c>
      <c r="J170" s="73">
        <v>2</v>
      </c>
      <c r="K170" s="73">
        <v>2</v>
      </c>
      <c r="L170" s="73">
        <v>2</v>
      </c>
      <c r="M170" s="73">
        <v>2</v>
      </c>
      <c r="N170" s="66"/>
      <c r="O170" s="66"/>
      <c r="P170" s="25"/>
      <c r="Q170" s="25"/>
      <c r="R170" s="52"/>
    </row>
    <row r="171" spans="1:18" x14ac:dyDescent="0.25">
      <c r="A171" s="58" t="s">
        <v>178</v>
      </c>
      <c r="B171" s="73">
        <v>103</v>
      </c>
      <c r="C171" s="73">
        <v>70</v>
      </c>
      <c r="D171" s="73">
        <v>103</v>
      </c>
      <c r="E171" s="73">
        <v>113</v>
      </c>
      <c r="F171" s="73">
        <v>108</v>
      </c>
      <c r="G171" s="73">
        <v>95</v>
      </c>
      <c r="H171" s="73">
        <v>112</v>
      </c>
      <c r="I171" s="73">
        <v>114</v>
      </c>
      <c r="J171" s="73">
        <v>132</v>
      </c>
      <c r="K171" s="73">
        <v>126</v>
      </c>
      <c r="L171" s="73">
        <v>138</v>
      </c>
      <c r="M171" s="73">
        <v>97</v>
      </c>
      <c r="N171" s="66"/>
      <c r="O171" s="66"/>
      <c r="P171" s="25"/>
      <c r="Q171" s="25"/>
      <c r="R171" s="52"/>
    </row>
    <row r="172" spans="1:18" x14ac:dyDescent="0.25">
      <c r="A172" s="58" t="s">
        <v>179</v>
      </c>
      <c r="B172" s="73">
        <v>103</v>
      </c>
      <c r="C172" s="73">
        <v>70</v>
      </c>
      <c r="D172" s="73">
        <v>103</v>
      </c>
      <c r="E172" s="73">
        <v>113</v>
      </c>
      <c r="F172" s="73">
        <v>108</v>
      </c>
      <c r="G172" s="73">
        <v>95</v>
      </c>
      <c r="H172" s="73">
        <v>112</v>
      </c>
      <c r="I172" s="73">
        <v>114</v>
      </c>
      <c r="J172" s="73">
        <v>132</v>
      </c>
      <c r="K172" s="73">
        <f>115+8+3</f>
        <v>126</v>
      </c>
      <c r="L172" s="73">
        <v>138</v>
      </c>
      <c r="M172" s="73">
        <v>97</v>
      </c>
      <c r="N172" s="66"/>
      <c r="O172" s="66"/>
      <c r="P172" s="25"/>
      <c r="Q172" s="25"/>
      <c r="R172" s="52"/>
    </row>
    <row r="173" spans="1:18" x14ac:dyDescent="0.25">
      <c r="A173" s="58" t="s">
        <v>180</v>
      </c>
      <c r="B173" s="73">
        <v>0</v>
      </c>
      <c r="C173" s="73">
        <v>0</v>
      </c>
      <c r="D173" s="73">
        <v>0</v>
      </c>
      <c r="E173" s="73">
        <v>0</v>
      </c>
      <c r="F173" s="73">
        <v>0</v>
      </c>
      <c r="G173" s="73">
        <v>0</v>
      </c>
      <c r="H173" s="73">
        <v>0</v>
      </c>
      <c r="I173" s="73">
        <v>0</v>
      </c>
      <c r="J173" s="73">
        <v>0</v>
      </c>
      <c r="K173" s="73">
        <v>0</v>
      </c>
      <c r="L173" s="73">
        <v>0</v>
      </c>
      <c r="M173" s="73">
        <v>0</v>
      </c>
      <c r="N173" s="66"/>
      <c r="O173" s="66"/>
      <c r="P173" s="25"/>
      <c r="Q173" s="25"/>
      <c r="R173" s="52"/>
    </row>
    <row r="174" spans="1:18" x14ac:dyDescent="0.25">
      <c r="A174" s="58" t="s">
        <v>181</v>
      </c>
      <c r="B174" s="73">
        <v>0</v>
      </c>
      <c r="C174" s="73">
        <v>0</v>
      </c>
      <c r="D174" s="73">
        <v>0</v>
      </c>
      <c r="E174" s="73">
        <v>0</v>
      </c>
      <c r="F174" s="73">
        <v>0</v>
      </c>
      <c r="G174" s="73">
        <v>0</v>
      </c>
      <c r="H174" s="73">
        <v>0</v>
      </c>
      <c r="I174" s="73">
        <v>0</v>
      </c>
      <c r="J174" s="73">
        <v>0</v>
      </c>
      <c r="K174" s="73">
        <v>0</v>
      </c>
      <c r="L174" s="73">
        <v>0</v>
      </c>
      <c r="M174" s="73">
        <v>0</v>
      </c>
      <c r="N174" s="66"/>
      <c r="O174" s="66"/>
      <c r="P174" s="25"/>
      <c r="Q174" s="25"/>
      <c r="R174" s="52"/>
    </row>
    <row r="175" spans="1:18" x14ac:dyDescent="0.25">
      <c r="A175" s="58" t="s">
        <v>182</v>
      </c>
      <c r="B175" s="73">
        <v>0</v>
      </c>
      <c r="C175" s="73">
        <v>0</v>
      </c>
      <c r="D175" s="73">
        <v>0</v>
      </c>
      <c r="E175" s="73">
        <v>0</v>
      </c>
      <c r="F175" s="73">
        <v>0</v>
      </c>
      <c r="G175" s="73">
        <v>0</v>
      </c>
      <c r="H175" s="73">
        <v>0</v>
      </c>
      <c r="I175" s="73">
        <v>0</v>
      </c>
      <c r="J175" s="73">
        <v>0</v>
      </c>
      <c r="K175" s="73">
        <v>0</v>
      </c>
      <c r="L175" s="73">
        <v>0</v>
      </c>
      <c r="M175" s="73">
        <v>0</v>
      </c>
      <c r="N175" s="66"/>
      <c r="O175" s="66"/>
      <c r="P175" s="25"/>
      <c r="Q175" s="25"/>
      <c r="R175" s="52"/>
    </row>
    <row r="176" spans="1:18" x14ac:dyDescent="0.25">
      <c r="A176" s="58" t="s">
        <v>183</v>
      </c>
      <c r="B176" s="73">
        <v>25381</v>
      </c>
      <c r="C176" s="73">
        <v>25457</v>
      </c>
      <c r="D176" s="73">
        <f t="shared" ref="D176:M176" si="41">D86-D140</f>
        <v>25268</v>
      </c>
      <c r="E176" s="73">
        <f t="shared" si="41"/>
        <v>25248</v>
      </c>
      <c r="F176" s="73">
        <f t="shared" si="41"/>
        <v>25315</v>
      </c>
      <c r="G176" s="73">
        <f t="shared" si="41"/>
        <v>25333</v>
      </c>
      <c r="H176" s="73">
        <f t="shared" si="41"/>
        <v>25381</v>
      </c>
      <c r="I176" s="73">
        <f t="shared" si="41"/>
        <v>25423</v>
      </c>
      <c r="J176" s="73">
        <f t="shared" si="41"/>
        <v>25440</v>
      </c>
      <c r="K176" s="73">
        <f t="shared" si="41"/>
        <v>25422</v>
      </c>
      <c r="L176" s="73">
        <f t="shared" si="41"/>
        <v>25424</v>
      </c>
      <c r="M176" s="73">
        <f t="shared" si="41"/>
        <v>25448</v>
      </c>
      <c r="N176" s="66"/>
      <c r="O176" s="66"/>
      <c r="P176" s="25"/>
      <c r="Q176" s="25"/>
      <c r="R176" s="52"/>
    </row>
    <row r="177" spans="1:18" x14ac:dyDescent="0.25">
      <c r="A177" s="94" t="s">
        <v>184</v>
      </c>
      <c r="B177" s="95">
        <v>0</v>
      </c>
      <c r="C177" s="95">
        <v>0</v>
      </c>
      <c r="D177" s="95">
        <v>0</v>
      </c>
      <c r="E177" s="95">
        <v>0</v>
      </c>
      <c r="F177" s="95">
        <v>0</v>
      </c>
      <c r="G177" s="95"/>
      <c r="H177" s="95"/>
      <c r="I177" s="95"/>
      <c r="J177" s="95"/>
      <c r="K177" s="95"/>
      <c r="L177" s="95"/>
      <c r="M177" s="95"/>
      <c r="N177" s="96"/>
      <c r="O177" s="96"/>
      <c r="P177" s="97"/>
      <c r="Q177" s="97"/>
      <c r="R177" s="98"/>
    </row>
    <row r="179" spans="1:18" x14ac:dyDescent="0.25">
      <c r="A179" s="8" t="s">
        <v>185</v>
      </c>
    </row>
    <row r="182" spans="1:18" x14ac:dyDescent="0.25">
      <c r="B182" s="104" t="s">
        <v>186</v>
      </c>
      <c r="C182" s="105"/>
      <c r="D182" s="105"/>
      <c r="K182" s="104" t="s">
        <v>187</v>
      </c>
    </row>
    <row r="183" spans="1:18" x14ac:dyDescent="0.25">
      <c r="B183" s="104" t="s">
        <v>188</v>
      </c>
      <c r="C183" s="105"/>
      <c r="D183" s="105"/>
      <c r="K183" s="104" t="s">
        <v>189</v>
      </c>
    </row>
    <row r="190" spans="1:18" x14ac:dyDescent="0.25">
      <c r="Q190" s="99"/>
      <c r="R190" s="99"/>
    </row>
  </sheetData>
  <sheetProtection selectLockedCells="1"/>
  <mergeCells count="4">
    <mergeCell ref="A1:R1"/>
    <mergeCell ref="A3:R3"/>
    <mergeCell ref="A4:R4"/>
    <mergeCell ref="A6:O6"/>
  </mergeCells>
  <printOptions horizontalCentered="1"/>
  <pageMargins left="0.39370078740157483" right="0.39370078740157483" top="0.59055118110236227" bottom="0.39370078740157483" header="0.39370078740157483" footer="0.19685039370078741"/>
  <pageSetup scale="33" fitToHeight="2" orientation="landscape" r:id="rId1"/>
  <headerFooter scaleWithDoc="0">
    <oddFooter>&amp;CPágina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5.- PIGOO 2023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jose_luis</dc:creator>
  <cp:lastModifiedBy>jose_luis</cp:lastModifiedBy>
  <cp:lastPrinted>2024-02-06T15:44:22Z</cp:lastPrinted>
  <dcterms:created xsi:type="dcterms:W3CDTF">2024-02-06T14:52:26Z</dcterms:created>
  <dcterms:modified xsi:type="dcterms:W3CDTF">2024-02-06T15:44:27Z</dcterms:modified>
</cp:coreProperties>
</file>